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9"/>
  </bookViews>
  <sheets>
    <sheet name="День 1" sheetId="2" r:id="rId1"/>
    <sheet name="День 2" sheetId="6" r:id="rId2"/>
    <sheet name="День 3" sheetId="4" r:id="rId3"/>
    <sheet name="День 4" sheetId="9" r:id="rId4"/>
    <sheet name="День 5" sheetId="8" r:id="rId5"/>
    <sheet name="День 6" sheetId="13" r:id="rId6"/>
    <sheet name="День 7" sheetId="14" r:id="rId7"/>
    <sheet name="День 8" sheetId="15" r:id="rId8"/>
    <sheet name="День 9" sheetId="12" r:id="rId9"/>
    <sheet name="День 10" sheetId="11" r:id="rId10"/>
    <sheet name="Лист2" sheetId="18" r:id="rId11"/>
  </sheets>
  <calcPr calcId="162913"/>
</workbook>
</file>

<file path=xl/calcChain.xml><?xml version="1.0" encoding="utf-8"?>
<calcChain xmlns="http://schemas.openxmlformats.org/spreadsheetml/2006/main">
  <c r="F12" i="18" l="1"/>
  <c r="N11" i="18"/>
  <c r="N12" i="18" s="1"/>
  <c r="M11" i="18"/>
  <c r="M12" i="18" s="1"/>
  <c r="L11" i="18"/>
  <c r="L12" i="18" s="1"/>
  <c r="K11" i="18"/>
  <c r="K12" i="18" s="1"/>
  <c r="J11" i="18"/>
  <c r="J12" i="18" s="1"/>
  <c r="I11" i="18"/>
  <c r="I12" i="18" s="1"/>
  <c r="H11" i="18"/>
  <c r="H12" i="18" s="1"/>
  <c r="G11" i="18"/>
  <c r="G12" i="18" s="1"/>
  <c r="E11" i="18"/>
  <c r="E12" i="18" s="1"/>
  <c r="D11" i="18"/>
  <c r="D12" i="18" s="1"/>
  <c r="C11" i="18"/>
  <c r="C12" i="18" s="1"/>
  <c r="G13" i="15" l="1"/>
  <c r="F12" i="15"/>
  <c r="E12" i="15"/>
  <c r="D12" i="15"/>
  <c r="O12" i="6"/>
  <c r="N12" i="6"/>
  <c r="M12" i="6"/>
  <c r="L12" i="6"/>
  <c r="K12" i="6"/>
  <c r="I12" i="6"/>
  <c r="H12" i="6"/>
  <c r="F12" i="6"/>
  <c r="G12" i="6" s="1"/>
  <c r="E12" i="6"/>
  <c r="D12" i="6"/>
  <c r="O13" i="2"/>
  <c r="N13" i="2"/>
  <c r="M13" i="2"/>
  <c r="L13" i="2"/>
  <c r="K13" i="2"/>
  <c r="H13" i="2"/>
  <c r="F13" i="2"/>
  <c r="E13" i="2"/>
  <c r="D13" i="2"/>
  <c r="O13" i="4"/>
  <c r="N13" i="4"/>
  <c r="M13" i="4"/>
  <c r="L13" i="4"/>
  <c r="K13" i="4"/>
  <c r="I13" i="4"/>
  <c r="H13" i="4"/>
  <c r="F13" i="4"/>
  <c r="E13" i="4"/>
  <c r="D13" i="4"/>
  <c r="I12" i="2"/>
  <c r="F13" i="11"/>
  <c r="E13" i="11"/>
  <c r="D13" i="11"/>
  <c r="E12" i="8"/>
  <c r="O15" i="13"/>
  <c r="N15" i="13"/>
  <c r="M15" i="13"/>
  <c r="L15" i="13"/>
  <c r="K15" i="13"/>
  <c r="J15" i="13"/>
  <c r="H15" i="13"/>
  <c r="E15" i="8"/>
  <c r="D15" i="8"/>
  <c r="G13" i="4" l="1"/>
  <c r="G12" i="15"/>
  <c r="G13" i="2"/>
  <c r="J15" i="6"/>
  <c r="F14" i="15"/>
  <c r="E14" i="15"/>
  <c r="D14" i="15"/>
  <c r="H14" i="15"/>
  <c r="O14" i="15"/>
  <c r="N14" i="15"/>
  <c r="M14" i="15"/>
  <c r="L14" i="15"/>
  <c r="L20" i="15" s="1"/>
  <c r="K14" i="15"/>
  <c r="I14" i="15"/>
  <c r="F13" i="6"/>
  <c r="D13" i="6"/>
  <c r="G13" i="6" s="1"/>
  <c r="E13" i="6"/>
  <c r="F15" i="15"/>
  <c r="E15" i="15"/>
  <c r="E14" i="9"/>
  <c r="D14" i="9"/>
  <c r="O15" i="14"/>
  <c r="N15" i="14"/>
  <c r="M15" i="14"/>
  <c r="L15" i="14"/>
  <c r="K15" i="14"/>
  <c r="J15" i="14"/>
  <c r="H15" i="14"/>
  <c r="F15" i="14"/>
  <c r="E15" i="14"/>
  <c r="D15" i="14"/>
  <c r="D12" i="12"/>
  <c r="E12" i="12"/>
  <c r="F12" i="12"/>
  <c r="I12" i="12"/>
  <c r="J12" i="12"/>
  <c r="K12" i="12"/>
  <c r="L12" i="12"/>
  <c r="M12" i="12"/>
  <c r="N12" i="12"/>
  <c r="O12" i="12"/>
  <c r="F6" i="13"/>
  <c r="D6" i="13"/>
  <c r="D10" i="13" s="1"/>
  <c r="O6" i="9"/>
  <c r="N6" i="9"/>
  <c r="M6" i="9"/>
  <c r="L6" i="9"/>
  <c r="K6" i="9"/>
  <c r="H6" i="9"/>
  <c r="F6" i="9"/>
  <c r="E6" i="9"/>
  <c r="D6" i="9"/>
  <c r="G19" i="2"/>
  <c r="G18" i="9"/>
  <c r="G19" i="8"/>
  <c r="G18" i="8"/>
  <c r="O15" i="8"/>
  <c r="N15" i="8"/>
  <c r="M15" i="8"/>
  <c r="L15" i="8"/>
  <c r="K15" i="8"/>
  <c r="J15" i="8"/>
  <c r="H15" i="8"/>
  <c r="G15" i="8"/>
  <c r="O14" i="8"/>
  <c r="N14" i="8"/>
  <c r="M14" i="8"/>
  <c r="L14" i="8"/>
  <c r="K14" i="8"/>
  <c r="I14" i="8"/>
  <c r="H14" i="8"/>
  <c r="F14" i="8"/>
  <c r="E14" i="8"/>
  <c r="E20" i="8" s="1"/>
  <c r="D14" i="8"/>
  <c r="O13" i="8"/>
  <c r="O20" i="8" s="1"/>
  <c r="N13" i="8"/>
  <c r="M13" i="8"/>
  <c r="M20" i="8" s="1"/>
  <c r="L13" i="8"/>
  <c r="K13" i="8"/>
  <c r="K20" i="8" s="1"/>
  <c r="J13" i="8"/>
  <c r="I13" i="8"/>
  <c r="G13" i="8"/>
  <c r="F12" i="8"/>
  <c r="D12" i="8"/>
  <c r="J10" i="8"/>
  <c r="I10" i="8"/>
  <c r="O6" i="8"/>
  <c r="O10" i="8" s="1"/>
  <c r="O22" i="8" s="1"/>
  <c r="N6" i="8"/>
  <c r="N10" i="8" s="1"/>
  <c r="M6" i="8"/>
  <c r="M10" i="8" s="1"/>
  <c r="M22" i="8" s="1"/>
  <c r="L6" i="8"/>
  <c r="L10" i="8" s="1"/>
  <c r="K6" i="8"/>
  <c r="K10" i="8" s="1"/>
  <c r="K22" i="8" s="1"/>
  <c r="H6" i="8"/>
  <c r="H10" i="8" s="1"/>
  <c r="F6" i="8"/>
  <c r="F10" i="8" s="1"/>
  <c r="E6" i="8"/>
  <c r="E10" i="8" s="1"/>
  <c r="D6" i="8"/>
  <c r="D10" i="8" s="1"/>
  <c r="J19" i="9"/>
  <c r="G17" i="9"/>
  <c r="O14" i="9"/>
  <c r="N14" i="9"/>
  <c r="M14" i="9"/>
  <c r="L14" i="9"/>
  <c r="K14" i="9"/>
  <c r="I14" i="9"/>
  <c r="H14" i="9"/>
  <c r="F14" i="9"/>
  <c r="F13" i="9"/>
  <c r="E13" i="9"/>
  <c r="D13" i="9"/>
  <c r="O12" i="9"/>
  <c r="N12" i="9"/>
  <c r="N19" i="9" s="1"/>
  <c r="M12" i="9"/>
  <c r="L12" i="9"/>
  <c r="L19" i="9" s="1"/>
  <c r="K12" i="9"/>
  <c r="I12" i="9"/>
  <c r="I19" i="9" s="1"/>
  <c r="H12" i="9"/>
  <c r="G12" i="9"/>
  <c r="J10" i="9"/>
  <c r="I10" i="9"/>
  <c r="I21" i="9" s="1"/>
  <c r="G9" i="9"/>
  <c r="O10" i="9"/>
  <c r="N10" i="9"/>
  <c r="M10" i="9"/>
  <c r="L10" i="9"/>
  <c r="K10" i="9"/>
  <c r="H10" i="9"/>
  <c r="F10" i="9"/>
  <c r="E10" i="9"/>
  <c r="D10" i="9"/>
  <c r="F13" i="14"/>
  <c r="E13" i="14"/>
  <c r="D13" i="14"/>
  <c r="D15" i="15"/>
  <c r="D20" i="15" s="1"/>
  <c r="O15" i="15"/>
  <c r="N15" i="15"/>
  <c r="M15" i="15"/>
  <c r="L15" i="15"/>
  <c r="K15" i="15"/>
  <c r="J15" i="15"/>
  <c r="I15" i="15"/>
  <c r="H15" i="15"/>
  <c r="F14" i="13"/>
  <c r="E14" i="13"/>
  <c r="D14" i="13"/>
  <c r="O14" i="13"/>
  <c r="N14" i="13"/>
  <c r="M14" i="13"/>
  <c r="L14" i="13"/>
  <c r="K14" i="13"/>
  <c r="H14" i="13"/>
  <c r="O13" i="13"/>
  <c r="N13" i="13"/>
  <c r="M13" i="13"/>
  <c r="L13" i="13"/>
  <c r="K13" i="13"/>
  <c r="J13" i="13"/>
  <c r="I13" i="13"/>
  <c r="I20" i="13" s="1"/>
  <c r="H13" i="13"/>
  <c r="G13" i="13"/>
  <c r="D13" i="12"/>
  <c r="E13" i="12"/>
  <c r="F13" i="12"/>
  <c r="H13" i="12"/>
  <c r="I13" i="12"/>
  <c r="K13" i="12"/>
  <c r="L13" i="12"/>
  <c r="M13" i="12"/>
  <c r="N13" i="12"/>
  <c r="O13" i="12"/>
  <c r="G20" i="6"/>
  <c r="G19" i="6"/>
  <c r="F16" i="6"/>
  <c r="E16" i="6"/>
  <c r="D16" i="6"/>
  <c r="O15" i="6"/>
  <c r="N15" i="6"/>
  <c r="M15" i="6"/>
  <c r="M21" i="6" s="1"/>
  <c r="L15" i="6"/>
  <c r="K15" i="6"/>
  <c r="I15" i="6"/>
  <c r="H15" i="6"/>
  <c r="H21" i="6" s="1"/>
  <c r="F15" i="6"/>
  <c r="E15" i="6"/>
  <c r="D15" i="6"/>
  <c r="O14" i="6"/>
  <c r="N14" i="6"/>
  <c r="M14" i="6"/>
  <c r="L14" i="6"/>
  <c r="K14" i="6"/>
  <c r="K21" i="6" s="1"/>
  <c r="J14" i="6"/>
  <c r="I14" i="6"/>
  <c r="I21" i="6" s="1"/>
  <c r="H14" i="6"/>
  <c r="F14" i="6"/>
  <c r="F21" i="6" s="1"/>
  <c r="E14" i="6"/>
  <c r="D14" i="6"/>
  <c r="O21" i="6"/>
  <c r="N21" i="6"/>
  <c r="L21" i="6"/>
  <c r="E21" i="6"/>
  <c r="K10" i="6"/>
  <c r="J10" i="6"/>
  <c r="G9" i="6"/>
  <c r="O6" i="6"/>
  <c r="O10" i="6" s="1"/>
  <c r="N6" i="6"/>
  <c r="N10" i="6" s="1"/>
  <c r="M6" i="6"/>
  <c r="M10" i="6" s="1"/>
  <c r="L6" i="6"/>
  <c r="L10" i="6" s="1"/>
  <c r="I6" i="6"/>
  <c r="I10" i="6" s="1"/>
  <c r="H6" i="6"/>
  <c r="H10" i="6" s="1"/>
  <c r="F6" i="6"/>
  <c r="F10" i="6" s="1"/>
  <c r="E6" i="6"/>
  <c r="E10" i="6" s="1"/>
  <c r="D6" i="6"/>
  <c r="D10" i="6" s="1"/>
  <c r="O12" i="2"/>
  <c r="N12" i="2"/>
  <c r="M12" i="2"/>
  <c r="L12" i="2"/>
  <c r="K12" i="2"/>
  <c r="J12" i="2"/>
  <c r="H12" i="2"/>
  <c r="F12" i="2"/>
  <c r="E12" i="2"/>
  <c r="D12" i="2"/>
  <c r="G18" i="15"/>
  <c r="G18" i="14"/>
  <c r="O16" i="11"/>
  <c r="M16" i="11"/>
  <c r="L16" i="11"/>
  <c r="G16" i="11"/>
  <c r="G19" i="15"/>
  <c r="F6" i="15"/>
  <c r="E6" i="15"/>
  <c r="D6" i="15"/>
  <c r="O14" i="14"/>
  <c r="N14" i="14"/>
  <c r="M14" i="14"/>
  <c r="M20" i="14" s="1"/>
  <c r="L14" i="14"/>
  <c r="K14" i="14"/>
  <c r="H14" i="14"/>
  <c r="F14" i="14"/>
  <c r="E14" i="14"/>
  <c r="D14" i="14"/>
  <c r="O12" i="14"/>
  <c r="N12" i="14"/>
  <c r="M12" i="14"/>
  <c r="L12" i="14"/>
  <c r="K12" i="14"/>
  <c r="I12" i="14"/>
  <c r="I20" i="14" s="1"/>
  <c r="H12" i="14"/>
  <c r="F12" i="14"/>
  <c r="E12" i="14"/>
  <c r="E20" i="14" s="1"/>
  <c r="D12" i="14"/>
  <c r="D20" i="14" s="1"/>
  <c r="G9" i="14"/>
  <c r="O6" i="14"/>
  <c r="N6" i="14"/>
  <c r="N10" i="14" s="1"/>
  <c r="M6" i="14"/>
  <c r="M10" i="14" s="1"/>
  <c r="L6" i="14"/>
  <c r="K6" i="14"/>
  <c r="H6" i="14"/>
  <c r="H10" i="14" s="1"/>
  <c r="F6" i="14"/>
  <c r="F10" i="14" s="1"/>
  <c r="E6" i="14"/>
  <c r="D6" i="14"/>
  <c r="O12" i="13"/>
  <c r="N12" i="13"/>
  <c r="M12" i="13"/>
  <c r="L12" i="13"/>
  <c r="K12" i="13"/>
  <c r="J12" i="13"/>
  <c r="I12" i="13"/>
  <c r="G18" i="13"/>
  <c r="G19" i="13"/>
  <c r="D15" i="13"/>
  <c r="F15" i="13"/>
  <c r="E15" i="13"/>
  <c r="F12" i="13"/>
  <c r="D12" i="13"/>
  <c r="O6" i="13"/>
  <c r="N6" i="13"/>
  <c r="M6" i="13"/>
  <c r="M10" i="13" s="1"/>
  <c r="L6" i="13"/>
  <c r="K6" i="13"/>
  <c r="K10" i="13" s="1"/>
  <c r="J6" i="13"/>
  <c r="J10" i="13" s="1"/>
  <c r="I6" i="13"/>
  <c r="I10" i="13" s="1"/>
  <c r="H6" i="13"/>
  <c r="G17" i="12"/>
  <c r="G18" i="12"/>
  <c r="O14" i="12"/>
  <c r="N14" i="12"/>
  <c r="M14" i="12"/>
  <c r="L14" i="12"/>
  <c r="K14" i="12"/>
  <c r="J14" i="12"/>
  <c r="J19" i="12" s="1"/>
  <c r="I14" i="12"/>
  <c r="H14" i="12"/>
  <c r="F14" i="12"/>
  <c r="E14" i="12"/>
  <c r="D14" i="12"/>
  <c r="G8" i="12"/>
  <c r="O6" i="12"/>
  <c r="N6" i="12"/>
  <c r="N9" i="12" s="1"/>
  <c r="M6" i="12"/>
  <c r="L6" i="12"/>
  <c r="K6" i="12"/>
  <c r="H6" i="12"/>
  <c r="H9" i="12" s="1"/>
  <c r="D6" i="12"/>
  <c r="D9" i="12" s="1"/>
  <c r="F6" i="12"/>
  <c r="E6" i="12"/>
  <c r="E9" i="12" s="1"/>
  <c r="G17" i="11"/>
  <c r="G8" i="11"/>
  <c r="O13" i="11"/>
  <c r="N13" i="11"/>
  <c r="N18" i="11" s="1"/>
  <c r="M13" i="11"/>
  <c r="L13" i="11"/>
  <c r="K13" i="11"/>
  <c r="J13" i="11"/>
  <c r="J18" i="11" s="1"/>
  <c r="I13" i="11"/>
  <c r="I18" i="11" s="1"/>
  <c r="H13" i="11"/>
  <c r="G12" i="11"/>
  <c r="N20" i="15"/>
  <c r="J20" i="15"/>
  <c r="G14" i="15"/>
  <c r="O20" i="15"/>
  <c r="I20" i="15"/>
  <c r="J10" i="15"/>
  <c r="G9" i="15"/>
  <c r="O10" i="15"/>
  <c r="N10" i="15"/>
  <c r="M10" i="15"/>
  <c r="L10" i="15"/>
  <c r="K10" i="15"/>
  <c r="H10" i="15"/>
  <c r="F10" i="15"/>
  <c r="E10" i="15"/>
  <c r="D10" i="15"/>
  <c r="I10" i="15"/>
  <c r="G19" i="14"/>
  <c r="J20" i="14"/>
  <c r="L20" i="14"/>
  <c r="F20" i="14"/>
  <c r="J10" i="14"/>
  <c r="L10" i="14"/>
  <c r="K10" i="14"/>
  <c r="E10" i="14"/>
  <c r="O10" i="14"/>
  <c r="I10" i="14"/>
  <c r="D10" i="14"/>
  <c r="H12" i="13"/>
  <c r="F10" i="13"/>
  <c r="O10" i="13"/>
  <c r="J9" i="12"/>
  <c r="L9" i="12"/>
  <c r="F9" i="12"/>
  <c r="I9" i="12"/>
  <c r="G13" i="11"/>
  <c r="O18" i="11"/>
  <c r="K18" i="11"/>
  <c r="H18" i="11"/>
  <c r="J9" i="11"/>
  <c r="N9" i="11"/>
  <c r="L9" i="11"/>
  <c r="K9" i="11"/>
  <c r="H9" i="11"/>
  <c r="O9" i="11"/>
  <c r="M9" i="11"/>
  <c r="I9" i="11"/>
  <c r="F9" i="11"/>
  <c r="D9" i="11"/>
  <c r="F15" i="2"/>
  <c r="E15" i="2"/>
  <c r="D15" i="2"/>
  <c r="O14" i="4"/>
  <c r="N14" i="4"/>
  <c r="M14" i="4"/>
  <c r="L14" i="4"/>
  <c r="K14" i="4"/>
  <c r="J14" i="4"/>
  <c r="H14" i="4"/>
  <c r="I14" i="4"/>
  <c r="G8" i="2"/>
  <c r="F14" i="4"/>
  <c r="E14" i="4"/>
  <c r="O6" i="4"/>
  <c r="N6" i="4"/>
  <c r="M6" i="4"/>
  <c r="L6" i="4"/>
  <c r="K6" i="4"/>
  <c r="H6" i="4"/>
  <c r="F6" i="4"/>
  <c r="E6" i="4"/>
  <c r="D6" i="4"/>
  <c r="G18" i="4"/>
  <c r="G17" i="4"/>
  <c r="D14" i="4"/>
  <c r="J19" i="4"/>
  <c r="I9" i="4"/>
  <c r="J9" i="4"/>
  <c r="J20" i="2"/>
  <c r="G18" i="2"/>
  <c r="O14" i="2"/>
  <c r="N14" i="2"/>
  <c r="M14" i="2"/>
  <c r="L14" i="2"/>
  <c r="K14" i="2"/>
  <c r="H14" i="2"/>
  <c r="F14" i="2"/>
  <c r="E14" i="2"/>
  <c r="D14" i="2"/>
  <c r="D20" i="2" s="1"/>
  <c r="I20" i="2"/>
  <c r="O6" i="2"/>
  <c r="N6" i="2"/>
  <c r="M6" i="2"/>
  <c r="L6" i="2"/>
  <c r="L9" i="2" s="1"/>
  <c r="K6" i="2"/>
  <c r="K9" i="2" s="1"/>
  <c r="J6" i="2"/>
  <c r="J9" i="2" s="1"/>
  <c r="I6" i="2"/>
  <c r="I9" i="2" s="1"/>
  <c r="H6" i="2"/>
  <c r="F6" i="2"/>
  <c r="F9" i="2" s="1"/>
  <c r="E6" i="2"/>
  <c r="D6" i="2"/>
  <c r="D9" i="2" s="1"/>
  <c r="D22" i="2" l="1"/>
  <c r="K20" i="14"/>
  <c r="N20" i="14"/>
  <c r="M18" i="11"/>
  <c r="M20" i="11" s="1"/>
  <c r="E23" i="6"/>
  <c r="D21" i="6"/>
  <c r="J21" i="6"/>
  <c r="J23" i="6" s="1"/>
  <c r="F23" i="6"/>
  <c r="G6" i="9"/>
  <c r="H23" i="6"/>
  <c r="K23" i="6"/>
  <c r="D23" i="6"/>
  <c r="I23" i="6"/>
  <c r="O23" i="6"/>
  <c r="K20" i="15"/>
  <c r="M20" i="15"/>
  <c r="F20" i="15"/>
  <c r="G15" i="15"/>
  <c r="H20" i="11"/>
  <c r="D18" i="11"/>
  <c r="D20" i="11" s="1"/>
  <c r="E20" i="13"/>
  <c r="E20" i="15"/>
  <c r="H20" i="15"/>
  <c r="G6" i="15"/>
  <c r="E22" i="8"/>
  <c r="G6" i="14"/>
  <c r="G13" i="14"/>
  <c r="O20" i="14"/>
  <c r="G15" i="14"/>
  <c r="H10" i="13"/>
  <c r="L10" i="13"/>
  <c r="N10" i="13"/>
  <c r="E9" i="11"/>
  <c r="L18" i="11"/>
  <c r="L20" i="8"/>
  <c r="L22" i="8" s="1"/>
  <c r="N20" i="8"/>
  <c r="N22" i="8" s="1"/>
  <c r="J20" i="8"/>
  <c r="J22" i="8" s="1"/>
  <c r="J21" i="4"/>
  <c r="M9" i="2"/>
  <c r="G12" i="2"/>
  <c r="F18" i="11"/>
  <c r="F20" i="11" s="1"/>
  <c r="I19" i="12"/>
  <c r="I21" i="12" s="1"/>
  <c r="G12" i="12"/>
  <c r="N9" i="4"/>
  <c r="L19" i="4"/>
  <c r="D9" i="4"/>
  <c r="M9" i="4"/>
  <c r="D19" i="9"/>
  <c r="D21" i="9" s="1"/>
  <c r="F19" i="9"/>
  <c r="F21" i="9" s="1"/>
  <c r="G14" i="9"/>
  <c r="G14" i="14"/>
  <c r="J20" i="13"/>
  <c r="I20" i="8"/>
  <c r="I22" i="8" s="1"/>
  <c r="G14" i="8"/>
  <c r="H20" i="8"/>
  <c r="H22" i="8" s="1"/>
  <c r="D20" i="8"/>
  <c r="D22" i="8" s="1"/>
  <c r="G16" i="6"/>
  <c r="G15" i="6"/>
  <c r="G14" i="6"/>
  <c r="J21" i="9"/>
  <c r="L21" i="9"/>
  <c r="N21" i="9"/>
  <c r="H19" i="9"/>
  <c r="H21" i="9" s="1"/>
  <c r="K19" i="9"/>
  <c r="M19" i="9"/>
  <c r="M21" i="9" s="1"/>
  <c r="O19" i="9"/>
  <c r="O21" i="9" s="1"/>
  <c r="E19" i="9"/>
  <c r="E21" i="9" s="1"/>
  <c r="G6" i="8"/>
  <c r="G10" i="8" s="1"/>
  <c r="G12" i="8"/>
  <c r="G20" i="8" s="1"/>
  <c r="F20" i="8"/>
  <c r="F22" i="8" s="1"/>
  <c r="K21" i="9"/>
  <c r="G13" i="9"/>
  <c r="G19" i="9" s="1"/>
  <c r="G13" i="12"/>
  <c r="D22" i="15"/>
  <c r="M22" i="15"/>
  <c r="O22" i="15"/>
  <c r="F22" i="15"/>
  <c r="E22" i="15"/>
  <c r="H20" i="14"/>
  <c r="G14" i="13"/>
  <c r="I22" i="13"/>
  <c r="D19" i="12"/>
  <c r="F19" i="12"/>
  <c r="F21" i="12" s="1"/>
  <c r="N19" i="12"/>
  <c r="K9" i="12"/>
  <c r="M9" i="12"/>
  <c r="O9" i="12"/>
  <c r="G14" i="12"/>
  <c r="L20" i="13"/>
  <c r="L22" i="13" s="1"/>
  <c r="M23" i="6"/>
  <c r="L23" i="6"/>
  <c r="N23" i="6"/>
  <c r="G6" i="6"/>
  <c r="G10" i="6" s="1"/>
  <c r="G21" i="6"/>
  <c r="I19" i="4"/>
  <c r="I21" i="4" s="1"/>
  <c r="N19" i="4"/>
  <c r="F9" i="4"/>
  <c r="E9" i="2"/>
  <c r="N9" i="2"/>
  <c r="E20" i="2"/>
  <c r="G15" i="2"/>
  <c r="D19" i="4"/>
  <c r="D21" i="4" s="1"/>
  <c r="E19" i="4"/>
  <c r="H19" i="4"/>
  <c r="L9" i="4"/>
  <c r="E9" i="4"/>
  <c r="K19" i="4"/>
  <c r="M19" i="4"/>
  <c r="M21" i="4" s="1"/>
  <c r="H9" i="4"/>
  <c r="K9" i="4"/>
  <c r="O9" i="4"/>
  <c r="O19" i="4"/>
  <c r="I22" i="2"/>
  <c r="F20" i="2"/>
  <c r="H9" i="2"/>
  <c r="M22" i="14"/>
  <c r="K22" i="14"/>
  <c r="K22" i="15"/>
  <c r="I22" i="15"/>
  <c r="H22" i="15"/>
  <c r="J22" i="15"/>
  <c r="D22" i="14"/>
  <c r="O22" i="14"/>
  <c r="H22" i="14"/>
  <c r="J22" i="14"/>
  <c r="I22" i="14"/>
  <c r="F22" i="14"/>
  <c r="E22" i="14"/>
  <c r="N20" i="13"/>
  <c r="N22" i="13" s="1"/>
  <c r="G15" i="13"/>
  <c r="E10" i="13"/>
  <c r="E22" i="13" s="1"/>
  <c r="K20" i="13"/>
  <c r="K22" i="13" s="1"/>
  <c r="M20" i="13"/>
  <c r="M22" i="13" s="1"/>
  <c r="O20" i="13"/>
  <c r="O22" i="13" s="1"/>
  <c r="D20" i="13"/>
  <c r="D22" i="13" s="1"/>
  <c r="H20" i="13"/>
  <c r="H22" i="13" s="1"/>
  <c r="G6" i="13"/>
  <c r="G10" i="13" s="1"/>
  <c r="J22" i="13"/>
  <c r="L19" i="12"/>
  <c r="L21" i="12" s="1"/>
  <c r="J21" i="12"/>
  <c r="E19" i="12"/>
  <c r="E21" i="12" s="1"/>
  <c r="H19" i="12"/>
  <c r="K19" i="12"/>
  <c r="M19" i="12"/>
  <c r="O19" i="12"/>
  <c r="H21" i="12"/>
  <c r="I20" i="11"/>
  <c r="O20" i="11"/>
  <c r="J20" i="11"/>
  <c r="E18" i="11"/>
  <c r="E20" i="11" s="1"/>
  <c r="L20" i="11"/>
  <c r="N20" i="11"/>
  <c r="K20" i="11"/>
  <c r="L22" i="15"/>
  <c r="N22" i="15"/>
  <c r="G10" i="15"/>
  <c r="G20" i="15"/>
  <c r="L22" i="14"/>
  <c r="N22" i="14"/>
  <c r="G10" i="14"/>
  <c r="G12" i="14"/>
  <c r="G12" i="13"/>
  <c r="F20" i="13"/>
  <c r="F22" i="13" s="1"/>
  <c r="N21" i="12"/>
  <c r="G6" i="12"/>
  <c r="G9" i="12" s="1"/>
  <c r="G9" i="11"/>
  <c r="G18" i="11"/>
  <c r="L20" i="2"/>
  <c r="L22" i="2" s="1"/>
  <c r="N20" i="2"/>
  <c r="O9" i="2"/>
  <c r="K20" i="2"/>
  <c r="K22" i="2" s="1"/>
  <c r="M20" i="2"/>
  <c r="O20" i="2"/>
  <c r="J22" i="2"/>
  <c r="E22" i="2"/>
  <c r="H20" i="2"/>
  <c r="G14" i="2"/>
  <c r="G20" i="2" s="1"/>
  <c r="F22" i="2"/>
  <c r="G14" i="4"/>
  <c r="F19" i="4"/>
  <c r="G6" i="4"/>
  <c r="G6" i="2"/>
  <c r="G20" i="14" l="1"/>
  <c r="N22" i="2"/>
  <c r="H22" i="2"/>
  <c r="M22" i="2"/>
  <c r="G22" i="8"/>
  <c r="O21" i="12"/>
  <c r="K21" i="12"/>
  <c r="L21" i="4"/>
  <c r="K21" i="4"/>
  <c r="D21" i="12"/>
  <c r="F21" i="4"/>
  <c r="N21" i="4"/>
  <c r="H21" i="4"/>
  <c r="G20" i="13"/>
  <c r="G22" i="13" s="1"/>
  <c r="G23" i="6"/>
  <c r="E21" i="4"/>
  <c r="O21" i="4"/>
  <c r="G10" i="9"/>
  <c r="G21" i="9" s="1"/>
  <c r="M21" i="12"/>
  <c r="G9" i="4"/>
  <c r="G19" i="4"/>
  <c r="O22" i="2"/>
  <c r="G19" i="12"/>
  <c r="G21" i="12" s="1"/>
  <c r="G22" i="15"/>
  <c r="G22" i="14"/>
  <c r="G20" i="11"/>
  <c r="G9" i="2"/>
  <c r="G22" i="2" s="1"/>
  <c r="G21" i="4" l="1"/>
</calcChain>
</file>

<file path=xl/sharedStrings.xml><?xml version="1.0" encoding="utf-8"?>
<sst xmlns="http://schemas.openxmlformats.org/spreadsheetml/2006/main" count="494" uniqueCount="169">
  <si>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</si>
  <si>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</si>
  <si>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</si>
  <si>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</si>
  <si>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</si>
  <si>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</si>
  <si>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Пищевые вещества (г)</t>
  </si>
  <si>
    <t>Энергет. ценности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</si>
  <si>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</si>
  <si>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</si>
  <si>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</si>
  <si>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</si>
  <si>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</si>
  <si>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</si>
  <si>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</si>
  <si>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</si>
  <si>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</si>
  <si>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</si>
  <si>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119/2008г</t>
  </si>
  <si>
    <t>Каша "Дружба" вязкая с маслом</t>
  </si>
  <si>
    <t>Хлеб пшеничный</t>
  </si>
  <si>
    <t xml:space="preserve"> </t>
  </si>
  <si>
    <t>ЗАВТРАК</t>
  </si>
  <si>
    <t>ОБЕД</t>
  </si>
  <si>
    <t>39/2008г</t>
  </si>
  <si>
    <t>Борщ с капустой и картофелем</t>
  </si>
  <si>
    <t>Картофельное пюре</t>
  </si>
  <si>
    <t>92/2008г</t>
  </si>
  <si>
    <t>Котлета  "Детская"</t>
  </si>
  <si>
    <t>75/2008г</t>
  </si>
  <si>
    <t>Хлеб ржано-пшеничный</t>
  </si>
  <si>
    <t>Компот из сухофруктов</t>
  </si>
  <si>
    <t>Фрукт свежий (яблоко)</t>
  </si>
  <si>
    <t>Кофейный напиток с молоком</t>
  </si>
  <si>
    <t>148/2008г</t>
  </si>
  <si>
    <t>ИТОГО ЗА ДЕНЬ:</t>
  </si>
  <si>
    <t>ИТОГО ЗА ЗАВТРАК:</t>
  </si>
  <si>
    <t>ИТОГО ЗА ОБЕД:</t>
  </si>
  <si>
    <t>Каша манная молочная, жидкая с маслом</t>
  </si>
  <si>
    <t>125/2008г</t>
  </si>
  <si>
    <t>Суп картофельный с бобовыми</t>
  </si>
  <si>
    <t>47/2008г</t>
  </si>
  <si>
    <t>Каша гречневая</t>
  </si>
  <si>
    <t>103/2013г</t>
  </si>
  <si>
    <t>Фрикадельки "Петушок"</t>
  </si>
  <si>
    <t>Соус томатный</t>
  </si>
  <si>
    <t>Чай с лимоном</t>
  </si>
  <si>
    <t>146/2008г</t>
  </si>
  <si>
    <t>Фрукт свежий (банан)</t>
  </si>
  <si>
    <t>Какао с молоком</t>
  </si>
  <si>
    <t xml:space="preserve"> Чай с сахаром</t>
  </si>
  <si>
    <t>149/2008г</t>
  </si>
  <si>
    <t>153/2008г</t>
  </si>
  <si>
    <t>Каша пшеничная молочная жидкая</t>
  </si>
  <si>
    <t>128/2008г</t>
  </si>
  <si>
    <t>Рассольник ленинградский</t>
  </si>
  <si>
    <t>60/2013г</t>
  </si>
  <si>
    <t>Каша рисовая рассыпчатая с овощами</t>
  </si>
  <si>
    <t>104/2013г</t>
  </si>
  <si>
    <t>Котлета рыбная "Нептун"</t>
  </si>
  <si>
    <t>88/2008г</t>
  </si>
  <si>
    <t>Фрукт свежий (груша)</t>
  </si>
  <si>
    <t>Кисель из повидла, джема, варенья</t>
  </si>
  <si>
    <t>150/2008г</t>
  </si>
  <si>
    <t>Макаронные изделия отварные</t>
  </si>
  <si>
    <t>97/2008г</t>
  </si>
  <si>
    <t>Компот из яблок</t>
  </si>
  <si>
    <t>251/2013г</t>
  </si>
  <si>
    <t>Фрукт свежий (апельсин)</t>
  </si>
  <si>
    <t>141/2008г</t>
  </si>
  <si>
    <t>261/2013г</t>
  </si>
  <si>
    <t>Суп картофельный с крупой</t>
  </si>
  <si>
    <t>62/2013г</t>
  </si>
  <si>
    <t>Сок фруктовый (яблочный)</t>
  </si>
  <si>
    <t>Салат из свежих огурцов</t>
  </si>
  <si>
    <t>Суп молочный с макаронными изделиями</t>
  </si>
  <si>
    <t>68/2013г</t>
  </si>
  <si>
    <t>Каша овсянная "Геркулес" жидкая</t>
  </si>
  <si>
    <t>129/2008г</t>
  </si>
  <si>
    <t>Суп картофельный с макаронными изделиями</t>
  </si>
  <si>
    <t>46/2008г</t>
  </si>
  <si>
    <t>Жаркое по - домашнему</t>
  </si>
  <si>
    <t>176/2013г</t>
  </si>
  <si>
    <t>Каша рисовая молочная жидкая</t>
  </si>
  <si>
    <t>130/2008г</t>
  </si>
  <si>
    <t>Салат из свёклы с сыром и чесноком</t>
  </si>
  <si>
    <t>37/2013г</t>
  </si>
  <si>
    <t>Шницель из говядины</t>
  </si>
  <si>
    <t>181/2013г</t>
  </si>
  <si>
    <t>200/2013г</t>
  </si>
  <si>
    <t>Каша гречневая на  молоке (вязкая)</t>
  </si>
  <si>
    <t>121/2008г</t>
  </si>
  <si>
    <t>Капуста тушеная</t>
  </si>
  <si>
    <t>Зразы из говядины с яйцом</t>
  </si>
  <si>
    <t>84/2013г</t>
  </si>
  <si>
    <t>73/2008г</t>
  </si>
  <si>
    <t>Суп картофельный с мясными фрикадельками</t>
  </si>
  <si>
    <t>45/2013г</t>
  </si>
  <si>
    <t>Салат из моркови с сыром и яйцом</t>
  </si>
  <si>
    <t>11/2008г</t>
  </si>
  <si>
    <t>Рыба тушеная в томате с овощами</t>
  </si>
  <si>
    <t>84/2008г</t>
  </si>
  <si>
    <t>Винегрет</t>
  </si>
  <si>
    <t>30/2008г</t>
  </si>
  <si>
    <t>106/2013г</t>
  </si>
  <si>
    <t>Птица отварная</t>
  </si>
  <si>
    <t>197/2013г</t>
  </si>
  <si>
    <t>267/2013г</t>
  </si>
  <si>
    <t>Неделя: первая, третья.</t>
  </si>
  <si>
    <t>67/2013г</t>
  </si>
  <si>
    <t>Суп картофельный с рыбными фрикдельками</t>
  </si>
  <si>
    <t>День: понедельник.</t>
  </si>
  <si>
    <t>День: пятница.</t>
  </si>
  <si>
    <t>Неделя: вторая, четвертая.</t>
  </si>
  <si>
    <t>Каша пшённая вязкая с маслом</t>
  </si>
  <si>
    <t>Суп картофельный с клёцками</t>
  </si>
  <si>
    <t>Рагу из овощей</t>
  </si>
  <si>
    <t>65/2013г</t>
  </si>
  <si>
    <t>87/2013г</t>
  </si>
  <si>
    <t>Суфле из птицы</t>
  </si>
  <si>
    <t>Возрастная категория: 11 лет и старше.</t>
  </si>
  <si>
    <t>Суп из смеси сухофруктов</t>
  </si>
  <si>
    <t>196/2004г</t>
  </si>
  <si>
    <t>Плов из птицы</t>
  </si>
  <si>
    <t>81/2008г</t>
  </si>
  <si>
    <t>206/2013г</t>
  </si>
  <si>
    <t>28/2013г</t>
  </si>
  <si>
    <t>Итого за весь период</t>
  </si>
  <si>
    <t>Среднее значение за период</t>
  </si>
  <si>
    <t>Содержание белков, жиров, углеводов, в меню за период в % от калорийности</t>
  </si>
  <si>
    <t>Примерное меню разработано по Сборник техническиих нормативов, рецептур блюд и кулинарных изделий для предприятий общественного питания при общеобразовательных учреждениях Удмуртской Республики. Ижевск 2008 г.</t>
  </si>
  <si>
    <t>6/2013г</t>
  </si>
  <si>
    <t>Сыр порциями российский</t>
  </si>
  <si>
    <t>-</t>
  </si>
  <si>
    <t>5/2013г</t>
  </si>
  <si>
    <t>Маслом сливочным порциями</t>
  </si>
  <si>
    <t>Кисломолочный продукт "Йогурт питьевой"</t>
  </si>
  <si>
    <t>Напиток из плодов шиповника</t>
  </si>
  <si>
    <t>Сезон: весна-лето</t>
  </si>
  <si>
    <t>50/2008</t>
  </si>
  <si>
    <t>Токмач(Суп – лапша с картофелем и мясом)</t>
  </si>
  <si>
    <t>24/2008</t>
  </si>
  <si>
    <t>Салат из свеклы с изюмом</t>
  </si>
  <si>
    <t>130/2013</t>
  </si>
  <si>
    <t>Яйцо отварное</t>
  </si>
  <si>
    <t>118/2008</t>
  </si>
  <si>
    <t xml:space="preserve">Каша боярская (пшенная с изюмом) вязкая </t>
  </si>
  <si>
    <t>9/2008г</t>
  </si>
  <si>
    <t>Салат "Радость"</t>
  </si>
  <si>
    <t>ИТОГО ЗА ДЕНЬ:1</t>
  </si>
  <si>
    <t>ИТОГО ЗА ДЕНЬ:2</t>
  </si>
  <si>
    <t>ИТОГО ЗА ДЕНЬ:3</t>
  </si>
  <si>
    <t>ИТОГО ЗА ДЕНЬ:4</t>
  </si>
  <si>
    <t>ИТОГО ЗА ДЕНЬ:5</t>
  </si>
  <si>
    <t>ИТОГО ЗА ДЕНЬ:6</t>
  </si>
  <si>
    <t>ИТОГО ЗА ДЕНЬ:7</t>
  </si>
  <si>
    <t>ИТОГО ЗА ДЕНЬ:8</t>
  </si>
  <si>
    <t>ИТОГО ЗА ДЕНЬ:9</t>
  </si>
  <si>
    <t>ИТОГО ЗА ДЕНЬ:10</t>
  </si>
  <si>
    <t xml:space="preserve">ИТОГО </t>
  </si>
  <si>
    <t>41/2013</t>
  </si>
  <si>
    <t>Салат "Удмуртский"</t>
  </si>
  <si>
    <t>Сборник техническиих нормативов, рецептур блюд и кулинарных изделий для организации питания детей в дошкольных организациях   Удмуртской Республики. Ижевск 2013 г.</t>
  </si>
  <si>
    <t xml:space="preserve">Сезон: весна-лето  </t>
  </si>
  <si>
    <t>День: среда</t>
  </si>
  <si>
    <t>День: вторник</t>
  </si>
  <si>
    <t>День: четверг</t>
  </si>
  <si>
    <t>День: пятница</t>
  </si>
  <si>
    <t>День: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</si>
</sst>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1" fillId="0" borderId="1" xfId="0" applyFont="1" applyBorder="1"/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0" fillId="0" borderId="0" xfId="0" applyBorder="1"/>
    <xf numFmtId="0" fontId="8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/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Layout" zoomScaleNormal="110" workbookViewId="0">
      <selection sqref="A1:C1"/>
    </sheetView>
  </sheetViews>
  <sheetFormatPr defaultRowHeight="14.4" x14ac:dyDescent="0.3"/>
  <cols>
    <col min="1" max="1" width="9.88671875" customWidth="1"/>
    <col min="2" max="2" width="31.44140625" customWidth="1"/>
    <col min="3" max="3" width="7" customWidth="1"/>
    <col min="4" max="4" width="7.6640625" customWidth="1"/>
    <col min="5" max="5" width="7" customWidth="1"/>
    <col min="7" max="7" width="8.33203125" customWidth="1"/>
    <col min="8" max="8" width="5.6640625" customWidth="1"/>
    <col min="9" max="9" width="6.44140625" customWidth="1"/>
    <col min="10" max="10" width="5.5546875" customWidth="1"/>
    <col min="11" max="11" width="5.44140625" customWidth="1"/>
    <col min="12" max="12" width="6.44140625" customWidth="1"/>
    <col min="13" max="13" width="7.88671875" customWidth="1"/>
    <col min="14" max="14" width="7" customWidth="1"/>
    <col min="15" max="15" width="6.44140625" customWidth="1"/>
  </cols>
  <sheetData>
    <row r="1" spans="1:19" ht="18" customHeight="1" x14ac:dyDescent="0.35">
      <c r="A1" s="90" t="s">
        <v>163</v>
      </c>
      <c r="B1" s="90"/>
      <c r="C1" s="90"/>
      <c r="D1" s="91" t="s">
        <v>108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  <c r="P1" s="3"/>
      <c r="Q1" s="3"/>
      <c r="R1" s="3"/>
      <c r="S1" s="2"/>
    </row>
    <row r="2" spans="1:19" ht="17.399999999999999" x14ac:dyDescent="0.35">
      <c r="A2" s="44" t="s">
        <v>120</v>
      </c>
      <c r="B2" s="44"/>
      <c r="C2" s="48"/>
      <c r="D2" s="92" t="s">
        <v>111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  <c r="P2" s="3"/>
      <c r="Q2" s="43"/>
      <c r="R2" s="3"/>
      <c r="S2" s="2"/>
    </row>
    <row r="3" spans="1:19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ht="24.75" customHeight="1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5"/>
      <c r="Q4" s="5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5"/>
      <c r="Q5" s="5"/>
      <c r="R5" s="3"/>
      <c r="S5" s="2"/>
    </row>
    <row r="6" spans="1:19" x14ac:dyDescent="0.3">
      <c r="A6" s="4" t="s">
        <v>18</v>
      </c>
      <c r="B6" s="7" t="s">
        <v>19</v>
      </c>
      <c r="C6" s="4">
        <v>200</v>
      </c>
      <c r="D6" s="8">
        <f>C6*3.3/100</f>
        <v>6.6</v>
      </c>
      <c r="E6" s="8">
        <f>C6*4.3/100</f>
        <v>8.6</v>
      </c>
      <c r="F6" s="8">
        <f>C6*19.8/100</f>
        <v>39.6</v>
      </c>
      <c r="G6" s="4">
        <f>F6*4+E6*9+D6*4</f>
        <v>262.2</v>
      </c>
      <c r="H6" s="8">
        <f>C6*0.05/100</f>
        <v>0.1</v>
      </c>
      <c r="I6" s="8">
        <f>C6*0.46/100</f>
        <v>0.92</v>
      </c>
      <c r="J6" s="8">
        <f>C6*0.01/100</f>
        <v>0.02</v>
      </c>
      <c r="K6" s="8">
        <f>C6*0.04/100</f>
        <v>0.08</v>
      </c>
      <c r="L6" s="8">
        <f>C6*62.52/100</f>
        <v>125.04</v>
      </c>
      <c r="M6" s="4">
        <f>C6*73.2/100</f>
        <v>146.4</v>
      </c>
      <c r="N6" s="8">
        <f>C6*17.73/100</f>
        <v>35.46</v>
      </c>
      <c r="O6" s="8">
        <f>C6*0.39/100</f>
        <v>0.78</v>
      </c>
      <c r="P6" s="5"/>
      <c r="Q6" s="5"/>
      <c r="R6" s="3"/>
      <c r="S6" s="2"/>
    </row>
    <row r="7" spans="1:19" x14ac:dyDescent="0.3">
      <c r="A7" s="4"/>
      <c r="B7" s="7" t="s">
        <v>20</v>
      </c>
      <c r="C7" s="60">
        <v>40</v>
      </c>
      <c r="D7" s="63">
        <v>3.04</v>
      </c>
      <c r="E7" s="63">
        <v>0.36</v>
      </c>
      <c r="F7" s="63">
        <v>19.88</v>
      </c>
      <c r="G7" s="63">
        <v>90.4</v>
      </c>
      <c r="H7" s="63">
        <v>0</v>
      </c>
      <c r="I7" s="63">
        <v>0</v>
      </c>
      <c r="J7" s="63">
        <v>10.4</v>
      </c>
      <c r="K7" s="63">
        <v>0.44</v>
      </c>
      <c r="L7" s="63">
        <v>33.200000000000003</v>
      </c>
      <c r="M7" s="63">
        <v>33.200000000000003</v>
      </c>
      <c r="N7" s="63">
        <v>14</v>
      </c>
      <c r="O7" s="4">
        <v>0.64</v>
      </c>
      <c r="P7" s="5"/>
      <c r="Q7" s="5"/>
      <c r="R7" s="3"/>
      <c r="S7" s="2"/>
    </row>
    <row r="8" spans="1:19" x14ac:dyDescent="0.3">
      <c r="A8" s="4" t="s">
        <v>51</v>
      </c>
      <c r="B8" s="7" t="s">
        <v>49</v>
      </c>
      <c r="C8" s="4">
        <v>200</v>
      </c>
      <c r="D8" s="8">
        <v>4.9000000000000004</v>
      </c>
      <c r="E8" s="8">
        <v>5</v>
      </c>
      <c r="F8" s="8">
        <v>32.5</v>
      </c>
      <c r="G8" s="8">
        <f>F8*4+E8*9+D8*4</f>
        <v>194.6</v>
      </c>
      <c r="H8" s="4">
        <v>0.06</v>
      </c>
      <c r="I8" s="4">
        <v>0.54</v>
      </c>
      <c r="J8" s="4">
        <v>0.04</v>
      </c>
      <c r="K8" s="8">
        <v>0.4</v>
      </c>
      <c r="L8" s="8">
        <v>172.2</v>
      </c>
      <c r="M8" s="8">
        <v>178.4</v>
      </c>
      <c r="N8" s="8">
        <v>24.8</v>
      </c>
      <c r="O8" s="8">
        <v>1</v>
      </c>
      <c r="P8" s="5"/>
      <c r="Q8" s="5"/>
      <c r="R8" s="3"/>
      <c r="S8" s="2"/>
    </row>
    <row r="9" spans="1:19" ht="15.6" x14ac:dyDescent="0.3">
      <c r="A9" s="100" t="s">
        <v>36</v>
      </c>
      <c r="B9" s="101"/>
      <c r="C9" s="14"/>
      <c r="D9" s="14">
        <f t="shared" ref="D9:O9" si="0">SUM(D6:D8)</f>
        <v>14.540000000000001</v>
      </c>
      <c r="E9" s="14">
        <f t="shared" si="0"/>
        <v>13.959999999999999</v>
      </c>
      <c r="F9" s="15">
        <f t="shared" si="0"/>
        <v>91.98</v>
      </c>
      <c r="G9" s="14">
        <f t="shared" si="0"/>
        <v>547.20000000000005</v>
      </c>
      <c r="H9" s="15">
        <f t="shared" si="0"/>
        <v>0.16</v>
      </c>
      <c r="I9" s="15">
        <f t="shared" si="0"/>
        <v>1.46</v>
      </c>
      <c r="J9" s="15">
        <f t="shared" si="0"/>
        <v>10.459999999999999</v>
      </c>
      <c r="K9" s="15">
        <f t="shared" si="0"/>
        <v>0.92</v>
      </c>
      <c r="L9" s="15">
        <f t="shared" si="0"/>
        <v>330.44</v>
      </c>
      <c r="M9" s="15">
        <f t="shared" si="0"/>
        <v>358</v>
      </c>
      <c r="N9" s="15">
        <f t="shared" si="0"/>
        <v>74.260000000000005</v>
      </c>
      <c r="O9" s="15">
        <f t="shared" si="0"/>
        <v>2.42</v>
      </c>
      <c r="P9" s="5"/>
      <c r="Q9" s="5"/>
      <c r="R9" s="40"/>
      <c r="S9" s="40"/>
    </row>
    <row r="10" spans="1:19" ht="15.6" x14ac:dyDescent="0.3">
      <c r="A10" s="100" t="s">
        <v>23</v>
      </c>
      <c r="B10" s="102"/>
      <c r="C10" s="103"/>
      <c r="D10" s="103"/>
      <c r="E10" s="103"/>
      <c r="F10" s="103"/>
      <c r="G10" s="103"/>
      <c r="H10" s="102"/>
      <c r="I10" s="102"/>
      <c r="J10" s="102"/>
      <c r="K10" s="102"/>
      <c r="L10" s="102"/>
      <c r="M10" s="102"/>
      <c r="N10" s="102"/>
      <c r="O10" s="101"/>
      <c r="P10" s="5"/>
      <c r="Q10" s="5"/>
      <c r="R10" s="40"/>
      <c r="S10" s="40"/>
    </row>
    <row r="11" spans="1:19" x14ac:dyDescent="0.3">
      <c r="A11" s="70" t="s">
        <v>160</v>
      </c>
      <c r="B11" s="71" t="s">
        <v>161</v>
      </c>
      <c r="C11" s="74">
        <v>100</v>
      </c>
      <c r="D11" s="74">
        <v>9.07</v>
      </c>
      <c r="E11" s="74">
        <v>12.32</v>
      </c>
      <c r="F11" s="74">
        <v>8.3800000000000008</v>
      </c>
      <c r="G11" s="74">
        <v>180.68</v>
      </c>
      <c r="H11" s="67">
        <v>0.3</v>
      </c>
      <c r="I11" s="8">
        <v>55</v>
      </c>
      <c r="J11" s="8">
        <v>0.35</v>
      </c>
      <c r="K11" s="8">
        <v>0.55000000000000004</v>
      </c>
      <c r="L11" s="8">
        <v>110</v>
      </c>
      <c r="M11" s="8">
        <v>327</v>
      </c>
      <c r="N11" s="8">
        <v>111</v>
      </c>
      <c r="O11" s="8">
        <v>11.8</v>
      </c>
      <c r="P11" s="5"/>
      <c r="Q11" s="5"/>
      <c r="R11" s="3"/>
      <c r="S11" s="2"/>
    </row>
    <row r="12" spans="1:19" ht="27.6" x14ac:dyDescent="0.3">
      <c r="A12" s="4" t="s">
        <v>109</v>
      </c>
      <c r="B12" s="19" t="s">
        <v>110</v>
      </c>
      <c r="C12" s="72">
        <v>250</v>
      </c>
      <c r="D12" s="73">
        <f>C12*2.24/100</f>
        <v>5.6</v>
      </c>
      <c r="E12" s="73">
        <f>C12*1.21/100</f>
        <v>3.0249999999999999</v>
      </c>
      <c r="F12" s="73">
        <f>C12*6.27/100</f>
        <v>15.675000000000001</v>
      </c>
      <c r="G12" s="73">
        <f t="shared" ref="G12:G19" si="1">F12*4+E12*9+D12*4</f>
        <v>112.32499999999999</v>
      </c>
      <c r="H12" s="21">
        <f>C12*0.04/100</f>
        <v>0.1</v>
      </c>
      <c r="I12" s="21">
        <f>C12*2.7/100</f>
        <v>6.75</v>
      </c>
      <c r="J12" s="21">
        <f>C12*0.02/100</f>
        <v>0.05</v>
      </c>
      <c r="K12" s="20">
        <f>C12*0.3/100</f>
        <v>0.75</v>
      </c>
      <c r="L12" s="21">
        <f>C12*8.8/100</f>
        <v>22</v>
      </c>
      <c r="M12" s="21">
        <f>C12*41.8/100</f>
        <v>104.5</v>
      </c>
      <c r="N12" s="21">
        <f>C12*8.3/100</f>
        <v>20.75</v>
      </c>
      <c r="O12" s="21">
        <f>C12*0.3/100</f>
        <v>0.75</v>
      </c>
      <c r="P12" s="5"/>
      <c r="Q12" s="5"/>
      <c r="R12" s="3"/>
      <c r="S12" s="2"/>
    </row>
    <row r="13" spans="1:19" x14ac:dyDescent="0.3">
      <c r="A13" s="4" t="s">
        <v>43</v>
      </c>
      <c r="B13" s="7" t="s">
        <v>42</v>
      </c>
      <c r="C13" s="4">
        <v>200</v>
      </c>
      <c r="D13" s="8">
        <f>C13*5.9/100</f>
        <v>11.8</v>
      </c>
      <c r="E13" s="8">
        <f>C13*3.4/100</f>
        <v>6.8</v>
      </c>
      <c r="F13" s="8">
        <f>C13*31.6/100</f>
        <v>63.2</v>
      </c>
      <c r="G13" s="8">
        <f t="shared" si="1"/>
        <v>361.2</v>
      </c>
      <c r="H13" s="4">
        <f>C13*0.08/100</f>
        <v>0.16</v>
      </c>
      <c r="I13" s="9">
        <v>0</v>
      </c>
      <c r="J13" s="9">
        <v>0</v>
      </c>
      <c r="K13" s="8">
        <f>C13*0.9/100</f>
        <v>1.8</v>
      </c>
      <c r="L13" s="8">
        <f>C13*12/100</f>
        <v>24</v>
      </c>
      <c r="M13" s="8">
        <f>C13*72/100</f>
        <v>144</v>
      </c>
      <c r="N13" s="8">
        <f>C13*49/100</f>
        <v>98</v>
      </c>
      <c r="O13" s="8">
        <f>C13*1.6/100</f>
        <v>3.2</v>
      </c>
      <c r="P13" s="5"/>
      <c r="Q13" s="5"/>
      <c r="R13" s="3"/>
      <c r="S13" s="2"/>
    </row>
    <row r="14" spans="1:19" x14ac:dyDescent="0.3">
      <c r="A14" s="4" t="s">
        <v>29</v>
      </c>
      <c r="B14" s="7" t="s">
        <v>28</v>
      </c>
      <c r="C14" s="4">
        <v>100</v>
      </c>
      <c r="D14" s="4">
        <f>C14*14.3/100</f>
        <v>14.3</v>
      </c>
      <c r="E14" s="8">
        <f>C14*10.5/100</f>
        <v>10.5</v>
      </c>
      <c r="F14" s="8">
        <f>C14*13.1/100</f>
        <v>13.1</v>
      </c>
      <c r="G14" s="8">
        <f t="shared" si="1"/>
        <v>204.10000000000002</v>
      </c>
      <c r="H14" s="8">
        <f>C14*0.08/100</f>
        <v>0.08</v>
      </c>
      <c r="I14" s="9">
        <v>0</v>
      </c>
      <c r="J14" s="9">
        <v>0</v>
      </c>
      <c r="K14" s="4">
        <f>C14*0.8/100</f>
        <v>0.8</v>
      </c>
      <c r="L14" s="8">
        <f>C14*21/100</f>
        <v>21</v>
      </c>
      <c r="M14" s="8">
        <f>C14*129/100</f>
        <v>129</v>
      </c>
      <c r="N14" s="8">
        <f>C14*26/100</f>
        <v>26</v>
      </c>
      <c r="O14" s="8">
        <f>C14*1.5/100</f>
        <v>1.5</v>
      </c>
    </row>
    <row r="15" spans="1:19" x14ac:dyDescent="0.3">
      <c r="A15" s="49" t="s">
        <v>69</v>
      </c>
      <c r="B15" s="7" t="s">
        <v>45</v>
      </c>
      <c r="C15" s="4">
        <v>40</v>
      </c>
      <c r="D15" s="4">
        <f>C15*1.3/50</f>
        <v>1.04</v>
      </c>
      <c r="E15" s="4">
        <f>C15*4.8/50</f>
        <v>3.84</v>
      </c>
      <c r="F15" s="4">
        <f>C15*4.7/50</f>
        <v>3.76</v>
      </c>
      <c r="G15" s="4">
        <f t="shared" si="1"/>
        <v>53.760000000000005</v>
      </c>
      <c r="H15" s="25">
        <v>0</v>
      </c>
      <c r="I15" s="20">
        <v>0.39</v>
      </c>
      <c r="J15" s="25">
        <v>0</v>
      </c>
      <c r="K15" s="25">
        <v>0</v>
      </c>
      <c r="L15" s="20">
        <v>0.01</v>
      </c>
      <c r="M15" s="25">
        <v>0</v>
      </c>
      <c r="N15" s="25">
        <v>0</v>
      </c>
      <c r="O15" s="21">
        <v>0.1</v>
      </c>
      <c r="P15" s="5"/>
      <c r="Q15" s="5"/>
      <c r="R15" s="3"/>
      <c r="S15" s="2"/>
    </row>
    <row r="16" spans="1:19" x14ac:dyDescent="0.3">
      <c r="A16" s="4"/>
      <c r="B16" s="7" t="s">
        <v>20</v>
      </c>
      <c r="C16" s="4">
        <v>35</v>
      </c>
      <c r="D16" s="4">
        <v>1.88</v>
      </c>
      <c r="E16" s="8">
        <v>0.2</v>
      </c>
      <c r="F16" s="4">
        <v>12.13</v>
      </c>
      <c r="G16" s="8">
        <v>40.479999999999997</v>
      </c>
      <c r="H16" s="8">
        <v>0.03</v>
      </c>
      <c r="I16" s="9">
        <v>0</v>
      </c>
      <c r="J16" s="9">
        <v>0</v>
      </c>
      <c r="K16" s="4">
        <v>0.3</v>
      </c>
      <c r="L16" s="8">
        <v>5</v>
      </c>
      <c r="M16" s="8">
        <v>15.9</v>
      </c>
      <c r="N16" s="8">
        <v>3.43</v>
      </c>
      <c r="O16" s="4">
        <v>0.27</v>
      </c>
      <c r="P16" s="5"/>
      <c r="Q16" s="5"/>
      <c r="R16" s="3"/>
      <c r="S16" s="2"/>
    </row>
    <row r="17" spans="1:19" x14ac:dyDescent="0.3">
      <c r="A17" s="4"/>
      <c r="B17" s="7" t="s">
        <v>30</v>
      </c>
      <c r="C17" s="4">
        <v>30</v>
      </c>
      <c r="D17" s="4">
        <v>1.48</v>
      </c>
      <c r="E17" s="4">
        <v>0.24</v>
      </c>
      <c r="F17" s="4">
        <v>9.8000000000000007</v>
      </c>
      <c r="G17" s="4">
        <v>35.46</v>
      </c>
      <c r="H17" s="8">
        <v>0.03</v>
      </c>
      <c r="I17" s="9">
        <v>0</v>
      </c>
      <c r="J17" s="9">
        <v>0</v>
      </c>
      <c r="K17" s="4">
        <v>0.31</v>
      </c>
      <c r="L17" s="8">
        <v>7.87</v>
      </c>
      <c r="M17" s="8">
        <v>35.549999999999997</v>
      </c>
      <c r="N17" s="8">
        <v>10.6</v>
      </c>
      <c r="O17" s="4">
        <v>0.8</v>
      </c>
      <c r="P17" s="5"/>
      <c r="Q17" s="5"/>
      <c r="R17" s="3"/>
      <c r="S17" s="2"/>
    </row>
    <row r="18" spans="1:19" ht="15.6" x14ac:dyDescent="0.3">
      <c r="A18" s="4" t="s">
        <v>52</v>
      </c>
      <c r="B18" s="7" t="s">
        <v>31</v>
      </c>
      <c r="C18" s="4">
        <v>200</v>
      </c>
      <c r="D18" s="8">
        <v>0.6</v>
      </c>
      <c r="E18" s="9">
        <v>0</v>
      </c>
      <c r="F18" s="8">
        <v>31.4</v>
      </c>
      <c r="G18" s="9">
        <f t="shared" si="1"/>
        <v>128</v>
      </c>
      <c r="H18" s="4">
        <v>0.02</v>
      </c>
      <c r="I18" s="4">
        <v>0.73</v>
      </c>
      <c r="J18" s="9">
        <v>0</v>
      </c>
      <c r="K18" s="4">
        <v>0.51</v>
      </c>
      <c r="L18" s="4">
        <v>32.479999999999997</v>
      </c>
      <c r="M18" s="4">
        <v>23.44</v>
      </c>
      <c r="N18" s="4">
        <v>17.46</v>
      </c>
      <c r="O18" s="8">
        <v>0.7</v>
      </c>
      <c r="P18" s="5"/>
      <c r="Q18" s="5"/>
      <c r="R18" s="86"/>
      <c r="S18" s="86"/>
    </row>
    <row r="19" spans="1:19" ht="15.6" x14ac:dyDescent="0.3">
      <c r="A19" s="4"/>
      <c r="B19" s="7" t="s">
        <v>32</v>
      </c>
      <c r="C19" s="4">
        <v>100</v>
      </c>
      <c r="D19" s="8">
        <v>0.4</v>
      </c>
      <c r="E19" s="8">
        <v>0.4</v>
      </c>
      <c r="F19" s="8">
        <v>9.8000000000000007</v>
      </c>
      <c r="G19" s="8">
        <f t="shared" si="1"/>
        <v>44.400000000000006</v>
      </c>
      <c r="H19" s="4">
        <v>0.03</v>
      </c>
      <c r="I19" s="8">
        <v>10</v>
      </c>
      <c r="J19" s="9">
        <v>0</v>
      </c>
      <c r="K19" s="8">
        <v>0.2</v>
      </c>
      <c r="L19" s="8">
        <v>16</v>
      </c>
      <c r="M19" s="8">
        <v>11</v>
      </c>
      <c r="N19" s="8">
        <v>9</v>
      </c>
      <c r="O19" s="8">
        <v>2.2000000000000002</v>
      </c>
      <c r="P19" s="5"/>
      <c r="Q19" s="5"/>
      <c r="R19" s="86"/>
      <c r="S19" s="86"/>
    </row>
    <row r="20" spans="1:19" x14ac:dyDescent="0.3">
      <c r="A20" s="100" t="s">
        <v>37</v>
      </c>
      <c r="B20" s="101"/>
      <c r="C20" s="4"/>
      <c r="D20" s="14">
        <f t="shared" ref="D20:O20" si="2">SUM(D11:D19)</f>
        <v>46.169999999999995</v>
      </c>
      <c r="E20" s="15">
        <f t="shared" si="2"/>
        <v>37.325000000000003</v>
      </c>
      <c r="F20" s="15">
        <f t="shared" si="2"/>
        <v>167.245</v>
      </c>
      <c r="G20" s="15">
        <f t="shared" si="2"/>
        <v>1160.4050000000002</v>
      </c>
      <c r="H20" s="15">
        <f t="shared" si="2"/>
        <v>0.75000000000000011</v>
      </c>
      <c r="I20" s="15">
        <f t="shared" si="2"/>
        <v>72.87</v>
      </c>
      <c r="J20" s="15">
        <f t="shared" si="2"/>
        <v>0.39999999999999997</v>
      </c>
      <c r="K20" s="14">
        <f t="shared" si="2"/>
        <v>5.22</v>
      </c>
      <c r="L20" s="15">
        <f t="shared" si="2"/>
        <v>238.35999999999999</v>
      </c>
      <c r="M20" s="15">
        <f t="shared" si="2"/>
        <v>790.39</v>
      </c>
      <c r="N20" s="15">
        <f t="shared" si="2"/>
        <v>296.24</v>
      </c>
      <c r="O20" s="14">
        <f t="shared" si="2"/>
        <v>21.32</v>
      </c>
      <c r="P20" s="5"/>
      <c r="Q20" s="5"/>
      <c r="R20" s="3"/>
      <c r="S20" s="47"/>
    </row>
    <row r="21" spans="1:19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5"/>
      <c r="Q21" s="5"/>
      <c r="R21" s="3"/>
      <c r="S21" s="2"/>
    </row>
    <row r="22" spans="1:19" x14ac:dyDescent="0.3">
      <c r="A22" s="100" t="s">
        <v>35</v>
      </c>
      <c r="B22" s="101"/>
      <c r="C22" s="4"/>
      <c r="D22" s="15">
        <f>D9+D20</f>
        <v>60.709999999999994</v>
      </c>
      <c r="E22" s="15">
        <f t="shared" ref="E22:O22" si="3">E9+E20</f>
        <v>51.285000000000004</v>
      </c>
      <c r="F22" s="15">
        <f t="shared" si="3"/>
        <v>259.22500000000002</v>
      </c>
      <c r="G22" s="15">
        <f t="shared" si="3"/>
        <v>1707.6050000000002</v>
      </c>
      <c r="H22" s="15">
        <f t="shared" si="3"/>
        <v>0.91000000000000014</v>
      </c>
      <c r="I22" s="15">
        <f t="shared" si="3"/>
        <v>74.33</v>
      </c>
      <c r="J22" s="50">
        <f t="shared" si="3"/>
        <v>10.86</v>
      </c>
      <c r="K22" s="15">
        <f t="shared" si="3"/>
        <v>6.14</v>
      </c>
      <c r="L22" s="15">
        <f t="shared" si="3"/>
        <v>568.79999999999995</v>
      </c>
      <c r="M22" s="15">
        <f t="shared" si="3"/>
        <v>1148.3899999999999</v>
      </c>
      <c r="N22" s="15">
        <f t="shared" si="3"/>
        <v>370.5</v>
      </c>
      <c r="O22" s="15">
        <f t="shared" si="3"/>
        <v>23.740000000000002</v>
      </c>
      <c r="P22" s="5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35"/>
      <c r="B26" s="36"/>
      <c r="C26" s="33"/>
      <c r="D26" s="33"/>
      <c r="E26" s="3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35"/>
      <c r="B27" s="35"/>
      <c r="C27" s="5"/>
      <c r="D27" s="5"/>
      <c r="E27" s="5"/>
      <c r="F27" s="5" t="s">
        <v>21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35"/>
      <c r="B28" s="3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35"/>
      <c r="B29" s="3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35"/>
      <c r="B30" s="3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2"/>
    </row>
    <row r="31" spans="1:19" x14ac:dyDescent="0.3">
      <c r="A31" s="3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  <c r="N31" s="2"/>
      <c r="P31" s="5"/>
      <c r="Q31" s="5"/>
      <c r="R31" s="3"/>
      <c r="S31" s="2"/>
    </row>
    <row r="32" spans="1:1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  <c r="N32" s="2"/>
      <c r="P32" s="5"/>
      <c r="Q32" s="5"/>
      <c r="R32" s="3"/>
      <c r="S32" s="2"/>
    </row>
    <row r="33" spans="1: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2"/>
    </row>
    <row r="34" spans="1:14" x14ac:dyDescent="0.3">
      <c r="A34" s="5"/>
      <c r="B34" s="34"/>
      <c r="C34" s="34"/>
      <c r="D34" s="34"/>
      <c r="E34" s="6"/>
      <c r="F34" s="6"/>
      <c r="G34" s="6"/>
      <c r="H34" s="6"/>
      <c r="I34" s="6"/>
      <c r="J34" s="6"/>
      <c r="K34" s="5"/>
      <c r="L34" s="5"/>
      <c r="M34" s="3"/>
      <c r="N34" s="2"/>
    </row>
    <row r="35" spans="1:14" x14ac:dyDescent="0.3">
      <c r="A35" s="5"/>
      <c r="B35" s="35"/>
      <c r="C35" s="35"/>
      <c r="D35" s="35"/>
      <c r="E35" s="2"/>
      <c r="F35" s="2"/>
      <c r="G35" s="2"/>
      <c r="H35" s="2"/>
      <c r="I35" s="2"/>
      <c r="J35" s="2"/>
      <c r="K35" s="5"/>
      <c r="L35" s="5"/>
      <c r="M35" s="3"/>
      <c r="N35" s="2"/>
    </row>
    <row r="36" spans="1:14" x14ac:dyDescent="0.3">
      <c r="A36" s="5"/>
      <c r="B36" s="35"/>
      <c r="C36" s="35"/>
      <c r="D36" s="35"/>
      <c r="E36" s="2"/>
      <c r="F36" s="2"/>
      <c r="G36" s="2"/>
      <c r="H36" s="2"/>
      <c r="I36" s="2"/>
      <c r="J36" s="2"/>
      <c r="K36" s="6"/>
      <c r="L36" s="6"/>
      <c r="M36" s="2"/>
      <c r="N36" s="2"/>
    </row>
    <row r="37" spans="1:14" x14ac:dyDescent="0.3">
      <c r="A37" s="5"/>
      <c r="B37" s="35"/>
      <c r="C37" s="35"/>
      <c r="D37" s="35"/>
      <c r="E37" s="2"/>
      <c r="F37" s="2"/>
      <c r="G37" s="2"/>
      <c r="H37" s="2"/>
      <c r="I37" s="2"/>
      <c r="J37" s="2"/>
      <c r="K37" s="2"/>
    </row>
    <row r="38" spans="1:14" x14ac:dyDescent="0.3">
      <c r="A38" s="5"/>
      <c r="B38" s="35"/>
      <c r="C38" s="35"/>
      <c r="D38" s="35"/>
      <c r="E38" s="2"/>
      <c r="F38" s="2"/>
      <c r="G38" s="2"/>
      <c r="H38" s="2"/>
      <c r="I38" s="2"/>
      <c r="J38" s="2"/>
      <c r="K38" s="2"/>
    </row>
    <row r="39" spans="1:14" x14ac:dyDescent="0.3">
      <c r="A39" s="5"/>
      <c r="B39" s="35"/>
      <c r="C39" s="35"/>
      <c r="D39" s="35"/>
      <c r="K39" s="2"/>
    </row>
    <row r="40" spans="1:14" x14ac:dyDescent="0.3">
      <c r="A40" s="5"/>
      <c r="B40" s="35"/>
      <c r="C40" s="35"/>
      <c r="D40" s="35"/>
      <c r="K40" s="2"/>
    </row>
    <row r="41" spans="1:14" x14ac:dyDescent="0.3">
      <c r="A41" s="5"/>
      <c r="B41" s="35"/>
      <c r="C41" s="35"/>
      <c r="D41" s="35"/>
    </row>
    <row r="42" spans="1:14" x14ac:dyDescent="0.3">
      <c r="A42" s="5"/>
      <c r="B42" s="35"/>
      <c r="C42" s="35"/>
      <c r="D42" s="35"/>
    </row>
    <row r="43" spans="1:14" x14ac:dyDescent="0.3">
      <c r="A43" s="34"/>
      <c r="B43" s="35"/>
      <c r="C43" s="35"/>
      <c r="D43" s="35"/>
    </row>
    <row r="44" spans="1:14" x14ac:dyDescent="0.3">
      <c r="A44" s="35"/>
      <c r="B44" s="35"/>
      <c r="C44" s="35"/>
      <c r="D44" s="35"/>
    </row>
    <row r="45" spans="1:14" x14ac:dyDescent="0.3">
      <c r="A45" s="35"/>
      <c r="B45" s="35"/>
      <c r="C45" s="35"/>
      <c r="D45" s="35"/>
    </row>
    <row r="46" spans="1:14" x14ac:dyDescent="0.3">
      <c r="A46" s="35"/>
      <c r="B46" s="35"/>
      <c r="C46" s="35"/>
      <c r="D46" s="35"/>
    </row>
    <row r="47" spans="1:14" x14ac:dyDescent="0.3">
      <c r="A47" s="35"/>
      <c r="B47" s="35"/>
      <c r="C47" s="35"/>
      <c r="D47" s="35"/>
    </row>
    <row r="48" spans="1:14" x14ac:dyDescent="0.3">
      <c r="A48" s="35"/>
      <c r="B48" s="35"/>
      <c r="C48" s="35"/>
      <c r="D48" s="35"/>
    </row>
    <row r="49" spans="1:4" x14ac:dyDescent="0.3">
      <c r="A49" s="35"/>
      <c r="B49" s="35"/>
      <c r="C49" s="35"/>
      <c r="D49" s="35"/>
    </row>
    <row r="50" spans="1:4" x14ac:dyDescent="0.3">
      <c r="A50" s="35"/>
      <c r="B50" s="35"/>
      <c r="C50" s="35"/>
      <c r="D50" s="35"/>
    </row>
    <row r="51" spans="1:4" x14ac:dyDescent="0.3">
      <c r="A51" s="35"/>
      <c r="B51" s="35"/>
      <c r="C51" s="35"/>
      <c r="D51" s="35"/>
    </row>
    <row r="52" spans="1:4" x14ac:dyDescent="0.3">
      <c r="A52" s="35"/>
      <c r="B52" s="35"/>
      <c r="C52" s="35"/>
      <c r="D52" s="35"/>
    </row>
    <row r="53" spans="1:4" x14ac:dyDescent="0.3">
      <c r="A53" s="35"/>
      <c r="B53" s="35"/>
      <c r="C53" s="35"/>
      <c r="D53" s="35"/>
    </row>
    <row r="54" spans="1:4" x14ac:dyDescent="0.3">
      <c r="A54" s="35"/>
      <c r="B54" s="35"/>
      <c r="C54" s="35"/>
      <c r="D54" s="35"/>
    </row>
    <row r="55" spans="1:4" x14ac:dyDescent="0.3">
      <c r="A55" s="35"/>
      <c r="B55" s="35"/>
      <c r="C55" s="35"/>
      <c r="D55" s="35"/>
    </row>
  </sheetData>
  <mergeCells count="19">
    <mergeCell ref="A21:O21"/>
    <mergeCell ref="A9:B9"/>
    <mergeCell ref="A20:B20"/>
    <mergeCell ref="A22:B22"/>
    <mergeCell ref="A10:O10"/>
    <mergeCell ref="A1:C1"/>
    <mergeCell ref="D1:H1"/>
    <mergeCell ref="D2:H2"/>
    <mergeCell ref="A3:A4"/>
    <mergeCell ref="B3:B4"/>
    <mergeCell ref="C3:C4"/>
    <mergeCell ref="D3:F3"/>
    <mergeCell ref="G3:G4"/>
    <mergeCell ref="R18:S18"/>
    <mergeCell ref="R19:S19"/>
    <mergeCell ref="J1:O1"/>
    <mergeCell ref="J2:O2"/>
    <mergeCell ref="L3:O3"/>
    <mergeCell ref="H3:K3"/>
  </mergeCells>
  <pageMargins left="0.64583333333333337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7.6640625" customWidth="1"/>
    <col min="3" max="3" width="7" customWidth="1"/>
    <col min="4" max="4" width="6.44140625" customWidth="1"/>
    <col min="5" max="5" width="5.88671875" customWidth="1"/>
    <col min="6" max="6" width="8.109375" customWidth="1"/>
    <col min="7" max="7" width="9.44140625" customWidth="1"/>
    <col min="8" max="9" width="5.6640625" customWidth="1"/>
    <col min="10" max="10" width="5.88671875" customWidth="1"/>
    <col min="11" max="11" width="6" customWidth="1"/>
    <col min="12" max="12" width="6.44140625" customWidth="1"/>
    <col min="13" max="13" width="8" customWidth="1"/>
    <col min="14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113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167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ht="27.6" x14ac:dyDescent="0.3">
      <c r="A6" s="70" t="s">
        <v>145</v>
      </c>
      <c r="B6" s="64" t="s">
        <v>146</v>
      </c>
      <c r="C6" s="78">
        <v>200</v>
      </c>
      <c r="D6" s="78">
        <v>8.3699999999999992</v>
      </c>
      <c r="E6" s="78">
        <v>29.15</v>
      </c>
      <c r="F6" s="78">
        <v>36.25</v>
      </c>
      <c r="G6" s="78">
        <v>436</v>
      </c>
      <c r="H6" s="79">
        <v>0.13</v>
      </c>
      <c r="I6" s="21">
        <v>1.53</v>
      </c>
      <c r="J6" s="20">
        <v>0.22</v>
      </c>
      <c r="K6" s="21">
        <v>0.2</v>
      </c>
      <c r="L6" s="21">
        <v>150.36000000000001</v>
      </c>
      <c r="M6" s="21">
        <v>163.6</v>
      </c>
      <c r="N6" s="21">
        <v>35.72</v>
      </c>
      <c r="O6" s="21">
        <v>0.74</v>
      </c>
      <c r="P6" s="5"/>
      <c r="Q6" s="5"/>
      <c r="R6" s="3"/>
      <c r="S6" s="2"/>
    </row>
    <row r="7" spans="1:19" x14ac:dyDescent="0.3">
      <c r="A7" s="4"/>
      <c r="B7" s="7" t="s">
        <v>20</v>
      </c>
      <c r="C7" s="60">
        <v>40</v>
      </c>
      <c r="D7" s="63">
        <v>3.04</v>
      </c>
      <c r="E7" s="63">
        <v>0.36</v>
      </c>
      <c r="F7" s="63">
        <v>19.88</v>
      </c>
      <c r="G7" s="63">
        <v>90.4</v>
      </c>
      <c r="H7" s="63">
        <v>0</v>
      </c>
      <c r="I7" s="63">
        <v>0</v>
      </c>
      <c r="J7" s="63">
        <v>10.4</v>
      </c>
      <c r="K7" s="63">
        <v>0.44</v>
      </c>
      <c r="L7" s="63">
        <v>33.200000000000003</v>
      </c>
      <c r="M7" s="63">
        <v>33.200000000000003</v>
      </c>
      <c r="N7" s="63">
        <v>14</v>
      </c>
      <c r="O7" s="4">
        <v>0.64</v>
      </c>
      <c r="P7" s="5"/>
      <c r="Q7" s="5"/>
      <c r="R7" s="3"/>
      <c r="S7" s="2"/>
    </row>
    <row r="8" spans="1:19" x14ac:dyDescent="0.3">
      <c r="A8" s="4" t="s">
        <v>34</v>
      </c>
      <c r="B8" s="7" t="s">
        <v>33</v>
      </c>
      <c r="C8" s="4">
        <v>200</v>
      </c>
      <c r="D8" s="8">
        <v>2.7</v>
      </c>
      <c r="E8" s="8">
        <v>2.8</v>
      </c>
      <c r="F8" s="8">
        <v>22.4</v>
      </c>
      <c r="G8" s="8">
        <f>F8*4+E8*9+D8*4</f>
        <v>125.6</v>
      </c>
      <c r="H8" s="8">
        <v>0.22</v>
      </c>
      <c r="I8" s="8">
        <v>1.3</v>
      </c>
      <c r="J8" s="8">
        <v>0.02</v>
      </c>
      <c r="K8" s="9">
        <v>0</v>
      </c>
      <c r="L8" s="4">
        <v>125.78</v>
      </c>
      <c r="M8" s="8">
        <v>90</v>
      </c>
      <c r="N8" s="8">
        <v>14</v>
      </c>
      <c r="O8" s="8">
        <v>0.13</v>
      </c>
      <c r="P8" s="5"/>
      <c r="Q8" s="5"/>
      <c r="R8" s="3"/>
      <c r="S8" s="2"/>
    </row>
    <row r="9" spans="1:19" x14ac:dyDescent="0.3">
      <c r="A9" s="100" t="s">
        <v>36</v>
      </c>
      <c r="B9" s="101"/>
      <c r="C9" s="14"/>
      <c r="D9" s="14">
        <f t="shared" ref="D9:O9" si="0">SUM(D6:D8)</f>
        <v>14.11</v>
      </c>
      <c r="E9" s="14">
        <f t="shared" si="0"/>
        <v>32.309999999999995</v>
      </c>
      <c r="F9" s="15">
        <f t="shared" si="0"/>
        <v>78.53</v>
      </c>
      <c r="G9" s="14">
        <f t="shared" si="0"/>
        <v>652</v>
      </c>
      <c r="H9" s="15">
        <f t="shared" si="0"/>
        <v>0.35</v>
      </c>
      <c r="I9" s="15">
        <f t="shared" si="0"/>
        <v>2.83</v>
      </c>
      <c r="J9" s="15">
        <f t="shared" si="0"/>
        <v>10.64</v>
      </c>
      <c r="K9" s="14">
        <f t="shared" si="0"/>
        <v>0.64</v>
      </c>
      <c r="L9" s="14">
        <f t="shared" si="0"/>
        <v>309.34000000000003</v>
      </c>
      <c r="M9" s="15">
        <f t="shared" si="0"/>
        <v>286.8</v>
      </c>
      <c r="N9" s="15">
        <f t="shared" si="0"/>
        <v>63.72</v>
      </c>
      <c r="O9" s="15">
        <f t="shared" si="0"/>
        <v>1.5099999999999998</v>
      </c>
      <c r="P9" s="5"/>
      <c r="Q9" s="5"/>
      <c r="R9" s="3"/>
      <c r="S9" s="2"/>
    </row>
    <row r="10" spans="1:19" x14ac:dyDescent="0.3">
      <c r="A10" s="100" t="s">
        <v>23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1"/>
      <c r="P10" s="5"/>
      <c r="Q10" s="5"/>
      <c r="R10" s="3" t="s">
        <v>21</v>
      </c>
      <c r="S10" s="2"/>
    </row>
    <row r="11" spans="1:19" x14ac:dyDescent="0.3">
      <c r="A11" s="70" t="s">
        <v>160</v>
      </c>
      <c r="B11" s="71" t="s">
        <v>161</v>
      </c>
      <c r="C11" s="74">
        <v>100</v>
      </c>
      <c r="D11" s="74">
        <v>9.07</v>
      </c>
      <c r="E11" s="74">
        <v>12.32</v>
      </c>
      <c r="F11" s="74">
        <v>8.3800000000000008</v>
      </c>
      <c r="G11" s="74">
        <v>180.68</v>
      </c>
      <c r="H11" s="69">
        <v>0.3</v>
      </c>
      <c r="I11" s="8">
        <v>55</v>
      </c>
      <c r="J11" s="8">
        <v>0.35</v>
      </c>
      <c r="K11" s="8">
        <v>0.55000000000000004</v>
      </c>
      <c r="L11" s="8">
        <v>110</v>
      </c>
      <c r="M11" s="8">
        <v>327</v>
      </c>
      <c r="N11" s="8">
        <v>111</v>
      </c>
      <c r="O11" s="8">
        <v>11.8</v>
      </c>
      <c r="P11" s="5"/>
      <c r="Q11" s="5"/>
      <c r="R11" s="3"/>
      <c r="S11" s="2"/>
    </row>
    <row r="12" spans="1:19" x14ac:dyDescent="0.3">
      <c r="A12" s="4" t="s">
        <v>24</v>
      </c>
      <c r="B12" s="7" t="s">
        <v>25</v>
      </c>
      <c r="C12" s="4">
        <v>250</v>
      </c>
      <c r="D12" s="8">
        <v>2.8</v>
      </c>
      <c r="E12" s="8">
        <v>7.2</v>
      </c>
      <c r="F12" s="8">
        <v>13.9</v>
      </c>
      <c r="G12" s="8">
        <f t="shared" ref="G12" si="1">F12*4+E12*9+D12*4</f>
        <v>131.6</v>
      </c>
      <c r="H12" s="4">
        <v>0.05</v>
      </c>
      <c r="I12" s="8">
        <v>10.8</v>
      </c>
      <c r="J12" s="9">
        <v>0</v>
      </c>
      <c r="K12" s="8">
        <v>0.8</v>
      </c>
      <c r="L12" s="8">
        <v>58</v>
      </c>
      <c r="M12" s="8">
        <v>200</v>
      </c>
      <c r="N12" s="8">
        <v>30</v>
      </c>
      <c r="O12" s="8">
        <v>1.3</v>
      </c>
      <c r="P12" s="5"/>
      <c r="Q12" s="5"/>
      <c r="R12" s="3"/>
      <c r="S12" s="2"/>
    </row>
    <row r="13" spans="1:19" x14ac:dyDescent="0.3">
      <c r="A13" s="4" t="s">
        <v>89</v>
      </c>
      <c r="B13" s="19" t="s">
        <v>123</v>
      </c>
      <c r="C13" s="4">
        <v>250</v>
      </c>
      <c r="D13" s="8">
        <f>C13*10.2/100</f>
        <v>25.5</v>
      </c>
      <c r="E13" s="8">
        <f>C13*9.3/100</f>
        <v>23.25</v>
      </c>
      <c r="F13" s="8">
        <f>C13*17/100</f>
        <v>42.5</v>
      </c>
      <c r="G13" s="8">
        <f t="shared" ref="G13:G17" si="2">F13*4+E13*9+D13*4</f>
        <v>481.25</v>
      </c>
      <c r="H13" s="8">
        <f>C13*0.08/150</f>
        <v>0.13333333333333333</v>
      </c>
      <c r="I13" s="8">
        <f>C13*4.52/150</f>
        <v>7.5333333333333332</v>
      </c>
      <c r="J13" s="8">
        <f>C13*0.015/150</f>
        <v>2.5000000000000001E-2</v>
      </c>
      <c r="K13" s="8">
        <f>C13*0.37/150</f>
        <v>0.6166666666666667</v>
      </c>
      <c r="L13" s="8">
        <f>C13*34.76/150</f>
        <v>57.93333333333333</v>
      </c>
      <c r="M13" s="8">
        <f>C13*131.5/150</f>
        <v>219.16666666666666</v>
      </c>
      <c r="N13" s="8">
        <f>C13*40.53/150</f>
        <v>67.55</v>
      </c>
      <c r="O13" s="8">
        <f>C13*1.48/150</f>
        <v>2.4666666666666668</v>
      </c>
      <c r="P13" s="5"/>
      <c r="Q13" s="5"/>
      <c r="R13" s="3"/>
      <c r="S13" s="2"/>
    </row>
    <row r="14" spans="1:19" x14ac:dyDescent="0.3">
      <c r="A14" s="4"/>
      <c r="B14" s="7" t="s">
        <v>20</v>
      </c>
      <c r="C14" s="4">
        <v>35</v>
      </c>
      <c r="D14" s="4">
        <v>1.88</v>
      </c>
      <c r="E14" s="8">
        <v>0.2</v>
      </c>
      <c r="F14" s="4">
        <v>12.13</v>
      </c>
      <c r="G14" s="8">
        <v>40.479999999999997</v>
      </c>
      <c r="H14" s="8">
        <v>0.03</v>
      </c>
      <c r="I14" s="9">
        <v>0</v>
      </c>
      <c r="J14" s="9">
        <v>0</v>
      </c>
      <c r="K14" s="4">
        <v>0.3</v>
      </c>
      <c r="L14" s="8">
        <v>5</v>
      </c>
      <c r="M14" s="8">
        <v>15.9</v>
      </c>
      <c r="N14" s="8">
        <v>3.43</v>
      </c>
      <c r="O14" s="4">
        <v>0.27</v>
      </c>
      <c r="P14" s="5"/>
      <c r="Q14" s="5"/>
      <c r="R14" s="3"/>
      <c r="S14" s="2"/>
    </row>
    <row r="15" spans="1:19" x14ac:dyDescent="0.3">
      <c r="A15" s="4"/>
      <c r="B15" s="7" t="s">
        <v>30</v>
      </c>
      <c r="C15" s="4">
        <v>30</v>
      </c>
      <c r="D15" s="4">
        <v>1.48</v>
      </c>
      <c r="E15" s="4">
        <v>0.24</v>
      </c>
      <c r="F15" s="4">
        <v>9.8000000000000007</v>
      </c>
      <c r="G15" s="4">
        <v>35.46</v>
      </c>
      <c r="H15" s="8">
        <v>0.03</v>
      </c>
      <c r="I15" s="9">
        <v>0</v>
      </c>
      <c r="J15" s="9">
        <v>0</v>
      </c>
      <c r="K15" s="4">
        <v>0.31</v>
      </c>
      <c r="L15" s="8">
        <v>7.87</v>
      </c>
      <c r="M15" s="8">
        <v>35.549999999999997</v>
      </c>
      <c r="N15" s="8">
        <v>10.6</v>
      </c>
      <c r="O15" s="4">
        <v>0.8</v>
      </c>
      <c r="P15" s="5"/>
      <c r="Q15" s="5"/>
      <c r="R15" s="3"/>
      <c r="S15" s="2"/>
    </row>
    <row r="16" spans="1:19" ht="27.6" x14ac:dyDescent="0.3">
      <c r="A16" s="4" t="s">
        <v>63</v>
      </c>
      <c r="B16" s="19" t="s">
        <v>62</v>
      </c>
      <c r="C16" s="4">
        <v>200</v>
      </c>
      <c r="D16" s="9">
        <v>0</v>
      </c>
      <c r="E16" s="9">
        <v>0</v>
      </c>
      <c r="F16" s="8">
        <v>38.4</v>
      </c>
      <c r="G16" s="8">
        <f>F16*4+E16*9+D16*4</f>
        <v>153.6</v>
      </c>
      <c r="H16" s="9">
        <v>0</v>
      </c>
      <c r="I16" s="9">
        <v>0</v>
      </c>
      <c r="J16" s="9">
        <v>0</v>
      </c>
      <c r="K16" s="9">
        <v>0</v>
      </c>
      <c r="L16" s="8">
        <f>C16*4.65/100</f>
        <v>9.3000000000000007</v>
      </c>
      <c r="M16" s="8">
        <f>C16*4.42/100</f>
        <v>8.84</v>
      </c>
      <c r="N16" s="9">
        <v>0</v>
      </c>
      <c r="O16" s="4">
        <f>C16*0.03/100</f>
        <v>0.06</v>
      </c>
      <c r="P16" s="5"/>
      <c r="Q16" s="5"/>
      <c r="R16" s="3"/>
      <c r="S16" s="2"/>
    </row>
    <row r="17" spans="1:19" x14ac:dyDescent="0.3">
      <c r="A17" s="4"/>
      <c r="B17" s="7" t="s">
        <v>68</v>
      </c>
      <c r="C17" s="4">
        <v>100</v>
      </c>
      <c r="D17" s="8">
        <v>0.9</v>
      </c>
      <c r="E17" s="8">
        <v>0.2</v>
      </c>
      <c r="F17" s="8">
        <v>9.5</v>
      </c>
      <c r="G17" s="8">
        <f t="shared" si="2"/>
        <v>43.4</v>
      </c>
      <c r="H17" s="4">
        <v>0.04</v>
      </c>
      <c r="I17" s="8">
        <v>60</v>
      </c>
      <c r="J17" s="9">
        <v>0</v>
      </c>
      <c r="K17" s="8">
        <v>0.2</v>
      </c>
      <c r="L17" s="8">
        <v>34</v>
      </c>
      <c r="M17" s="8">
        <v>23</v>
      </c>
      <c r="N17" s="8">
        <v>13</v>
      </c>
      <c r="O17" s="8">
        <v>0.3</v>
      </c>
      <c r="P17" s="5"/>
      <c r="Q17" s="5"/>
      <c r="R17" s="3"/>
      <c r="S17" s="2"/>
    </row>
    <row r="18" spans="1:19" x14ac:dyDescent="0.3">
      <c r="A18" s="100" t="s">
        <v>37</v>
      </c>
      <c r="B18" s="101"/>
      <c r="C18" s="4"/>
      <c r="D18" s="15">
        <f t="shared" ref="D18:O18" si="3">SUM(D11:D17)</f>
        <v>41.63</v>
      </c>
      <c r="E18" s="15">
        <f t="shared" si="3"/>
        <v>43.410000000000004</v>
      </c>
      <c r="F18" s="15">
        <f t="shared" si="3"/>
        <v>134.60999999999999</v>
      </c>
      <c r="G18" s="14">
        <f t="shared" si="3"/>
        <v>1066.47</v>
      </c>
      <c r="H18" s="14">
        <f t="shared" si="3"/>
        <v>0.58333333333333337</v>
      </c>
      <c r="I18" s="15">
        <f t="shared" si="3"/>
        <v>133.33333333333331</v>
      </c>
      <c r="J18" s="15">
        <f t="shared" si="3"/>
        <v>0.375</v>
      </c>
      <c r="K18" s="15">
        <f t="shared" si="3"/>
        <v>2.7766666666666668</v>
      </c>
      <c r="L18" s="15">
        <f t="shared" si="3"/>
        <v>282.10333333333335</v>
      </c>
      <c r="M18" s="15">
        <f t="shared" si="3"/>
        <v>829.45666666666659</v>
      </c>
      <c r="N18" s="15">
        <f t="shared" si="3"/>
        <v>235.58</v>
      </c>
      <c r="O18" s="15">
        <f t="shared" si="3"/>
        <v>16.996666666666666</v>
      </c>
      <c r="P18" s="5"/>
      <c r="Q18" s="5"/>
      <c r="R18" s="3"/>
      <c r="S18" s="2"/>
    </row>
    <row r="19" spans="1:19" x14ac:dyDescent="0.3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  <c r="P19" s="5"/>
      <c r="Q19" s="5"/>
      <c r="R19" s="3"/>
      <c r="S19" s="2"/>
    </row>
    <row r="20" spans="1:19" x14ac:dyDescent="0.3">
      <c r="A20" s="100" t="s">
        <v>35</v>
      </c>
      <c r="B20" s="101"/>
      <c r="C20" s="4"/>
      <c r="D20" s="15">
        <f>D9+D18</f>
        <v>55.74</v>
      </c>
      <c r="E20" s="15">
        <f t="shared" ref="E20:O20" si="4">E9+E18</f>
        <v>75.72</v>
      </c>
      <c r="F20" s="15">
        <f t="shared" si="4"/>
        <v>213.14</v>
      </c>
      <c r="G20" s="14">
        <f t="shared" si="4"/>
        <v>1718.47</v>
      </c>
      <c r="H20" s="15">
        <f t="shared" si="4"/>
        <v>0.93333333333333335</v>
      </c>
      <c r="I20" s="15">
        <f t="shared" si="4"/>
        <v>136.16333333333333</v>
      </c>
      <c r="J20" s="15">
        <f t="shared" si="4"/>
        <v>11.015000000000001</v>
      </c>
      <c r="K20" s="15">
        <f t="shared" si="4"/>
        <v>3.416666666666667</v>
      </c>
      <c r="L20" s="14">
        <f t="shared" si="4"/>
        <v>591.44333333333338</v>
      </c>
      <c r="M20" s="15">
        <f t="shared" si="4"/>
        <v>1116.2566666666667</v>
      </c>
      <c r="N20" s="14">
        <f t="shared" si="4"/>
        <v>299.3</v>
      </c>
      <c r="O20" s="15">
        <f t="shared" si="4"/>
        <v>18.506666666666668</v>
      </c>
      <c r="P20" s="5"/>
      <c r="Q20" s="5"/>
      <c r="R20" s="3"/>
      <c r="S20" s="2"/>
    </row>
    <row r="21" spans="1:19" x14ac:dyDescent="0.3">
      <c r="A21" s="41"/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5"/>
      <c r="Q21" s="5"/>
      <c r="R21" s="3"/>
      <c r="S21" s="2"/>
    </row>
    <row r="22" spans="1:19" x14ac:dyDescent="0.3">
      <c r="A22" s="5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37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7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37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7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37"/>
    </row>
    <row r="33" spans="1:1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37"/>
      <c r="P33" s="5"/>
      <c r="Q33" s="5"/>
      <c r="R33" s="3"/>
      <c r="S33" s="37"/>
    </row>
    <row r="34" spans="1:1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7"/>
    </row>
    <row r="35" spans="1:19" x14ac:dyDescent="0.3">
      <c r="A35" s="5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37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2"/>
    </row>
    <row r="46" spans="1:19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5"/>
      <c r="L46" s="5"/>
      <c r="M46" s="3"/>
      <c r="N46" s="2"/>
    </row>
    <row r="47" spans="1:1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3"/>
      <c r="N47" s="2"/>
    </row>
    <row r="48" spans="1:1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"/>
      <c r="L48" s="5"/>
      <c r="M48" s="3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"/>
      <c r="L49" s="5"/>
      <c r="M49" s="3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6"/>
      <c r="L50" s="26"/>
      <c r="M50" s="2"/>
      <c r="N50" s="2"/>
    </row>
    <row r="51" spans="1:14" x14ac:dyDescent="0.3">
      <c r="K51" s="2"/>
    </row>
    <row r="52" spans="1:14" x14ac:dyDescent="0.3">
      <c r="K52" s="2"/>
    </row>
    <row r="53" spans="1:14" x14ac:dyDescent="0.3">
      <c r="K53" s="2"/>
    </row>
    <row r="54" spans="1:14" x14ac:dyDescent="0.3">
      <c r="K54" s="2"/>
    </row>
  </sheetData>
  <mergeCells count="17">
    <mergeCell ref="L3:O3"/>
    <mergeCell ref="A9:B9"/>
    <mergeCell ref="A10:O10"/>
    <mergeCell ref="A18:B18"/>
    <mergeCell ref="A19:O19"/>
    <mergeCell ref="G3:G4"/>
    <mergeCell ref="H3:K3"/>
    <mergeCell ref="A20:B20"/>
    <mergeCell ref="A3:A4"/>
    <mergeCell ref="B3:B4"/>
    <mergeCell ref="C3:C4"/>
    <mergeCell ref="D3:F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1" sqref="J21"/>
    </sheetView>
  </sheetViews>
  <sheetFormatPr defaultRowHeight="14.4" x14ac:dyDescent="0.3"/>
  <sheetData>
    <row r="1" spans="1:14" x14ac:dyDescent="0.3">
      <c r="A1" s="106" t="s">
        <v>149</v>
      </c>
      <c r="B1" s="106"/>
      <c r="C1" s="4">
        <v>52.54</v>
      </c>
      <c r="D1" s="15">
        <v>44.97</v>
      </c>
      <c r="E1" s="15">
        <v>253.85</v>
      </c>
      <c r="F1" s="15">
        <v>1593.63</v>
      </c>
      <c r="G1" s="15">
        <v>0.61</v>
      </c>
      <c r="H1" s="15">
        <v>22.13</v>
      </c>
      <c r="I1" s="15">
        <v>11.31</v>
      </c>
      <c r="J1" s="15">
        <v>5.59</v>
      </c>
      <c r="K1" s="15">
        <v>476.8</v>
      </c>
      <c r="L1" s="15">
        <v>841.39</v>
      </c>
      <c r="M1" s="15">
        <v>266.5</v>
      </c>
      <c r="N1" s="15">
        <v>12.34</v>
      </c>
    </row>
    <row r="2" spans="1:14" x14ac:dyDescent="0.3">
      <c r="A2" s="106" t="s">
        <v>150</v>
      </c>
      <c r="B2" s="106"/>
      <c r="C2" s="1">
        <v>51.4</v>
      </c>
      <c r="D2" s="1">
        <v>55.52</v>
      </c>
      <c r="E2" s="1">
        <v>216.08</v>
      </c>
      <c r="F2" s="1">
        <v>1514.54</v>
      </c>
      <c r="G2" s="1">
        <v>0.65</v>
      </c>
      <c r="H2" s="1">
        <v>37.97</v>
      </c>
      <c r="I2" s="1">
        <v>11.25</v>
      </c>
      <c r="J2" s="1">
        <v>5.82</v>
      </c>
      <c r="K2" s="1">
        <v>516.97</v>
      </c>
      <c r="L2" s="1">
        <v>623.35</v>
      </c>
      <c r="M2" s="1">
        <v>225.83</v>
      </c>
      <c r="N2" s="1">
        <v>8.98</v>
      </c>
    </row>
    <row r="3" spans="1:14" x14ac:dyDescent="0.3">
      <c r="A3" s="106" t="s">
        <v>151</v>
      </c>
      <c r="B3" s="106"/>
      <c r="C3" s="1">
        <v>57.2</v>
      </c>
      <c r="D3" s="1">
        <v>68.8</v>
      </c>
      <c r="E3" s="1">
        <v>191.96</v>
      </c>
      <c r="F3" s="1">
        <v>1570.99</v>
      </c>
      <c r="G3" s="1">
        <v>0.61</v>
      </c>
      <c r="H3" s="1">
        <v>73.41</v>
      </c>
      <c r="I3" s="1">
        <v>16.53</v>
      </c>
      <c r="J3" s="1">
        <v>6.25</v>
      </c>
      <c r="K3" s="1">
        <v>364.02</v>
      </c>
      <c r="L3" s="1">
        <v>1084.3</v>
      </c>
      <c r="M3" s="1">
        <v>178.39</v>
      </c>
      <c r="N3" s="1">
        <v>18.5</v>
      </c>
    </row>
    <row r="4" spans="1:14" x14ac:dyDescent="0.3">
      <c r="A4" s="106" t="s">
        <v>152</v>
      </c>
      <c r="B4" s="106"/>
      <c r="C4" s="1">
        <v>41.91</v>
      </c>
      <c r="D4" s="1">
        <v>60.49</v>
      </c>
      <c r="E4" s="1">
        <v>221.72</v>
      </c>
      <c r="F4" s="1">
        <v>1565.33</v>
      </c>
      <c r="G4" s="1">
        <v>0.43</v>
      </c>
      <c r="H4" s="1">
        <v>29.78</v>
      </c>
      <c r="I4" s="1">
        <v>10.68</v>
      </c>
      <c r="J4" s="1">
        <v>10.46</v>
      </c>
      <c r="K4" s="1">
        <v>620.29999999999995</v>
      </c>
      <c r="L4" s="1">
        <v>641.72</v>
      </c>
      <c r="M4" s="1">
        <v>223.87</v>
      </c>
      <c r="N4" s="1">
        <v>11.53</v>
      </c>
    </row>
    <row r="5" spans="1:14" x14ac:dyDescent="0.3">
      <c r="A5" s="106" t="s">
        <v>153</v>
      </c>
      <c r="B5" s="106"/>
      <c r="C5" s="1">
        <v>57.9</v>
      </c>
      <c r="D5" s="1">
        <v>54.9</v>
      </c>
      <c r="E5" s="1">
        <v>170.01</v>
      </c>
      <c r="F5" s="1">
        <v>1368.64</v>
      </c>
      <c r="G5" s="1">
        <v>0.45</v>
      </c>
      <c r="H5" s="1">
        <v>55.85</v>
      </c>
      <c r="I5" s="1">
        <v>11.73</v>
      </c>
      <c r="J5" s="1">
        <v>10.63</v>
      </c>
      <c r="K5" s="1">
        <v>880.17</v>
      </c>
      <c r="L5" s="1">
        <v>844.76</v>
      </c>
      <c r="M5" s="1">
        <v>243.55</v>
      </c>
      <c r="N5" s="1">
        <v>12.77</v>
      </c>
    </row>
    <row r="6" spans="1:14" x14ac:dyDescent="0.3">
      <c r="A6" s="106" t="s">
        <v>154</v>
      </c>
      <c r="B6" s="106"/>
      <c r="C6" s="1">
        <v>65.41</v>
      </c>
      <c r="D6" s="1">
        <v>45.61</v>
      </c>
      <c r="E6" s="1">
        <v>204.33</v>
      </c>
      <c r="F6" s="1">
        <v>1434.5</v>
      </c>
      <c r="G6" s="1">
        <v>0.95</v>
      </c>
      <c r="H6" s="1">
        <v>29.71</v>
      </c>
      <c r="I6" s="1">
        <v>11.43</v>
      </c>
      <c r="J6" s="1">
        <v>6.14</v>
      </c>
      <c r="K6" s="1">
        <v>475.18</v>
      </c>
      <c r="L6" s="1">
        <v>854.32</v>
      </c>
      <c r="M6" s="1">
        <v>256.42</v>
      </c>
      <c r="N6" s="1">
        <v>18.850000000000001</v>
      </c>
    </row>
    <row r="7" spans="1:14" x14ac:dyDescent="0.3">
      <c r="A7" s="106" t="s">
        <v>155</v>
      </c>
      <c r="B7" s="106"/>
      <c r="C7" s="1">
        <v>47.57</v>
      </c>
      <c r="D7" s="1">
        <v>69.400000000000006</v>
      </c>
      <c r="E7" s="1">
        <v>207.76</v>
      </c>
      <c r="F7" s="1">
        <v>1604.49</v>
      </c>
      <c r="G7" s="1">
        <v>0.63</v>
      </c>
      <c r="H7" s="1">
        <v>83.96</v>
      </c>
      <c r="I7" s="1">
        <v>11.47</v>
      </c>
      <c r="J7" s="1">
        <v>2.87</v>
      </c>
      <c r="K7" s="1">
        <v>499.4</v>
      </c>
      <c r="L7" s="1">
        <v>809.26</v>
      </c>
      <c r="M7" s="1">
        <v>195.3</v>
      </c>
      <c r="N7" s="1">
        <v>7.11</v>
      </c>
    </row>
    <row r="8" spans="1:14" x14ac:dyDescent="0.3">
      <c r="A8" s="106" t="s">
        <v>156</v>
      </c>
      <c r="B8" s="106"/>
      <c r="C8" s="1">
        <v>48.1</v>
      </c>
      <c r="D8" s="1">
        <v>51.45</v>
      </c>
      <c r="E8" s="1">
        <v>209.84</v>
      </c>
      <c r="F8" s="1">
        <v>1437.39</v>
      </c>
      <c r="G8" s="1">
        <v>0.67</v>
      </c>
      <c r="H8" s="1">
        <v>28.84</v>
      </c>
      <c r="I8" s="1">
        <v>17.940000000000001</v>
      </c>
      <c r="J8" s="1">
        <v>5.14</v>
      </c>
      <c r="K8" s="1">
        <v>518.75</v>
      </c>
      <c r="L8" s="1">
        <v>751.12</v>
      </c>
      <c r="M8" s="1">
        <v>280.04000000000002</v>
      </c>
      <c r="N8" s="1">
        <v>12.99</v>
      </c>
    </row>
    <row r="9" spans="1:14" x14ac:dyDescent="0.3">
      <c r="A9" s="106" t="s">
        <v>157</v>
      </c>
      <c r="B9" s="106"/>
      <c r="C9" s="1">
        <v>57.6</v>
      </c>
      <c r="D9" s="1">
        <v>47.56</v>
      </c>
      <c r="E9" s="1">
        <v>269.89</v>
      </c>
      <c r="F9" s="1">
        <v>1700.86</v>
      </c>
      <c r="G9" s="1">
        <v>0.62</v>
      </c>
      <c r="H9" s="1">
        <v>37.67</v>
      </c>
      <c r="I9" s="1">
        <v>11.31</v>
      </c>
      <c r="J9" s="1">
        <v>13.71</v>
      </c>
      <c r="K9" s="1">
        <v>803.44</v>
      </c>
      <c r="L9" s="1">
        <v>916.35</v>
      </c>
      <c r="M9" s="1">
        <v>292.52999999999997</v>
      </c>
      <c r="N9" s="1">
        <v>9.24</v>
      </c>
    </row>
    <row r="10" spans="1:14" x14ac:dyDescent="0.3">
      <c r="A10" s="106" t="s">
        <v>158</v>
      </c>
      <c r="B10" s="106"/>
      <c r="C10" s="1">
        <v>41.74</v>
      </c>
      <c r="D10" s="1">
        <v>73.599999999999994</v>
      </c>
      <c r="E10" s="1">
        <v>191.17</v>
      </c>
      <c r="F10" s="1">
        <v>1560.1</v>
      </c>
      <c r="G10" s="1">
        <v>0.56999999999999995</v>
      </c>
      <c r="H10" s="1">
        <v>50.38</v>
      </c>
      <c r="I10" s="1">
        <v>10.61</v>
      </c>
      <c r="J10" s="1">
        <v>13.05</v>
      </c>
      <c r="K10" s="1">
        <v>265.82</v>
      </c>
      <c r="L10" s="1">
        <v>715.31</v>
      </c>
      <c r="M10" s="1">
        <v>220.28</v>
      </c>
      <c r="N10" s="1">
        <v>14.66</v>
      </c>
    </row>
    <row r="11" spans="1:14" x14ac:dyDescent="0.3">
      <c r="A11" s="1" t="s">
        <v>159</v>
      </c>
      <c r="B11" s="1"/>
      <c r="C11" s="24">
        <f>SUM(C1:C10)</f>
        <v>521.37</v>
      </c>
      <c r="D11" s="24">
        <f>SUM(D1:D10)</f>
        <v>572.30000000000007</v>
      </c>
      <c r="E11" s="24">
        <f>SUM(E1:E10)</f>
        <v>2136.6099999999997</v>
      </c>
      <c r="F11" s="82">
        <v>19389.599999999999</v>
      </c>
      <c r="G11" s="24">
        <f>SUM(G1:G10)</f>
        <v>6.19</v>
      </c>
      <c r="H11" s="24">
        <f>SUM(H1:H10)</f>
        <v>449.7</v>
      </c>
      <c r="I11" s="24">
        <f>SUM(I1:I10)</f>
        <v>124.26</v>
      </c>
      <c r="J11" s="24">
        <f>SUM(J1:J10)</f>
        <v>79.66</v>
      </c>
      <c r="K11" s="24">
        <f>SUM(K1:K10)</f>
        <v>5420.85</v>
      </c>
      <c r="L11" s="24">
        <f>SUM(L1:L10)</f>
        <v>8081.880000000001</v>
      </c>
      <c r="M11" s="24">
        <f>SUM(M1:M10)</f>
        <v>2382.7100000000005</v>
      </c>
      <c r="N11" s="24">
        <f>SUM(N1:N10)</f>
        <v>126.96999999999998</v>
      </c>
    </row>
    <row r="12" spans="1:14" x14ac:dyDescent="0.3">
      <c r="C12">
        <f>SUM(C11)/12</f>
        <v>43.447499999999998</v>
      </c>
      <c r="D12">
        <f t="shared" ref="D12:N12" si="0">SUM(D11)/12</f>
        <v>47.69166666666667</v>
      </c>
      <c r="E12">
        <f t="shared" si="0"/>
        <v>178.05083333333332</v>
      </c>
      <c r="F12">
        <f t="shared" si="0"/>
        <v>1615.8</v>
      </c>
      <c r="G12">
        <f t="shared" si="0"/>
        <v>0.51583333333333337</v>
      </c>
      <c r="H12">
        <f t="shared" si="0"/>
        <v>37.475000000000001</v>
      </c>
      <c r="I12">
        <f t="shared" si="0"/>
        <v>10.355</v>
      </c>
      <c r="J12">
        <f t="shared" si="0"/>
        <v>6.6383333333333328</v>
      </c>
      <c r="K12">
        <f t="shared" si="0"/>
        <v>451.73750000000001</v>
      </c>
      <c r="L12">
        <f t="shared" si="0"/>
        <v>673.49000000000012</v>
      </c>
      <c r="M12">
        <f t="shared" si="0"/>
        <v>198.5591666666667</v>
      </c>
      <c r="N12">
        <f t="shared" si="0"/>
        <v>10.580833333333333</v>
      </c>
    </row>
    <row r="13" spans="1:14" x14ac:dyDescent="0.3">
      <c r="C13">
        <v>3.4</v>
      </c>
      <c r="D13">
        <v>3.7</v>
      </c>
      <c r="E13">
        <v>13.9</v>
      </c>
    </row>
    <row r="14" spans="1:14" x14ac:dyDescent="0.3">
      <c r="C14">
        <v>3.2</v>
      </c>
      <c r="D14">
        <v>3.4</v>
      </c>
      <c r="E14">
        <v>13.05</v>
      </c>
    </row>
    <row r="16" spans="1:14" x14ac:dyDescent="0.3">
      <c r="I16" s="109"/>
    </row>
    <row r="17" spans="8:8" x14ac:dyDescent="0.3">
      <c r="H17" s="108"/>
    </row>
  </sheetData>
  <mergeCells count="1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Layout" zoomScale="80" zoomScaleNormal="110" zoomScalePageLayoutView="80" workbookViewId="0">
      <selection activeCell="D2" sqref="D2:H2"/>
    </sheetView>
  </sheetViews>
  <sheetFormatPr defaultRowHeight="14.4" x14ac:dyDescent="0.3"/>
  <cols>
    <col min="1" max="1" width="9.88671875" customWidth="1"/>
    <col min="2" max="2" width="26.44140625" customWidth="1"/>
    <col min="3" max="3" width="6.88671875" customWidth="1"/>
    <col min="4" max="4" width="7.6640625" customWidth="1"/>
    <col min="5" max="5" width="7" customWidth="1"/>
    <col min="7" max="7" width="8.5546875" customWidth="1"/>
    <col min="8" max="8" width="5.6640625" customWidth="1"/>
    <col min="9" max="9" width="7.44140625" customWidth="1"/>
    <col min="10" max="10" width="5.88671875" customWidth="1"/>
    <col min="11" max="11" width="6" customWidth="1"/>
    <col min="12" max="12" width="6.44140625" customWidth="1"/>
    <col min="13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108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165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5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</row>
    <row r="5" spans="1:19" ht="18" customHeight="1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ht="27.6" x14ac:dyDescent="0.3">
      <c r="A6" s="4" t="s">
        <v>54</v>
      </c>
      <c r="B6" s="19" t="s">
        <v>53</v>
      </c>
      <c r="C6" s="4">
        <v>200</v>
      </c>
      <c r="D6" s="8">
        <f>C6*3.4/100</f>
        <v>6.8</v>
      </c>
      <c r="E6" s="8">
        <f>C6*4.5/100</f>
        <v>9</v>
      </c>
      <c r="F6" s="8">
        <f>C6*16.6/100</f>
        <v>33.200000000000003</v>
      </c>
      <c r="G6" s="8">
        <f>F6*4+E6*9+D6*4</f>
        <v>241</v>
      </c>
      <c r="H6" s="21">
        <f>C6*0.01/100</f>
        <v>0.02</v>
      </c>
      <c r="I6" s="20">
        <f>C6*0.18/100</f>
        <v>0.36</v>
      </c>
      <c r="J6" s="25">
        <v>0</v>
      </c>
      <c r="K6" s="25">
        <v>0</v>
      </c>
      <c r="L6" s="21">
        <f>C6*77.1/100</f>
        <v>154.19999999999999</v>
      </c>
      <c r="M6" s="21">
        <f>C6*24.15/100</f>
        <v>48.3</v>
      </c>
      <c r="N6" s="21">
        <f>C6*21.2/100</f>
        <v>42.4</v>
      </c>
      <c r="O6" s="21">
        <f>C6*0.99/100</f>
        <v>1.98</v>
      </c>
      <c r="P6" s="3"/>
      <c r="Q6" s="3"/>
      <c r="R6" s="3"/>
      <c r="S6" s="2"/>
    </row>
    <row r="7" spans="1:19" x14ac:dyDescent="0.3">
      <c r="A7" s="4" t="s">
        <v>131</v>
      </c>
      <c r="B7" s="62" t="s">
        <v>132</v>
      </c>
      <c r="C7" s="60">
        <v>20</v>
      </c>
      <c r="D7" s="63">
        <v>4.6399999999999997</v>
      </c>
      <c r="E7" s="63">
        <v>5.92</v>
      </c>
      <c r="F7" s="63" t="s">
        <v>133</v>
      </c>
      <c r="G7" s="63">
        <v>72</v>
      </c>
      <c r="H7" s="63">
        <v>0</v>
      </c>
      <c r="I7" s="63">
        <v>0.32</v>
      </c>
      <c r="J7" s="63">
        <v>0.05</v>
      </c>
      <c r="K7" s="63">
        <v>0</v>
      </c>
      <c r="L7" s="63">
        <v>200</v>
      </c>
      <c r="M7" s="63">
        <v>108.8</v>
      </c>
      <c r="N7" s="63">
        <v>9.4</v>
      </c>
      <c r="O7" s="61">
        <v>0.12</v>
      </c>
      <c r="P7" s="3"/>
      <c r="Q7" s="3"/>
      <c r="R7" s="3"/>
      <c r="S7" s="2"/>
    </row>
    <row r="8" spans="1:19" x14ac:dyDescent="0.3">
      <c r="A8" s="4"/>
      <c r="B8" s="7" t="s">
        <v>20</v>
      </c>
      <c r="C8" s="60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x14ac:dyDescent="0.3">
      <c r="A9" s="4" t="s">
        <v>52</v>
      </c>
      <c r="B9" s="7" t="s">
        <v>31</v>
      </c>
      <c r="C9" s="4">
        <v>200</v>
      </c>
      <c r="D9" s="8">
        <v>0.6</v>
      </c>
      <c r="E9" s="9">
        <v>0</v>
      </c>
      <c r="F9" s="8">
        <v>31.4</v>
      </c>
      <c r="G9" s="9">
        <f t="shared" ref="G9" si="0">F9*4+E9*9+D9*4</f>
        <v>128</v>
      </c>
      <c r="H9" s="4">
        <v>0.02</v>
      </c>
      <c r="I9" s="4">
        <v>0.73</v>
      </c>
      <c r="J9" s="9">
        <v>0</v>
      </c>
      <c r="K9" s="4">
        <v>0.51</v>
      </c>
      <c r="L9" s="4">
        <v>32.479999999999997</v>
      </c>
      <c r="M9" s="4">
        <v>23.44</v>
      </c>
      <c r="N9" s="4">
        <v>17.46</v>
      </c>
      <c r="O9" s="8">
        <v>0.7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1">SUM(D6:D9)</f>
        <v>15.08</v>
      </c>
      <c r="E10" s="14">
        <f t="shared" si="1"/>
        <v>15.28</v>
      </c>
      <c r="F10" s="15">
        <f t="shared" si="1"/>
        <v>84.47999999999999</v>
      </c>
      <c r="G10" s="14">
        <f t="shared" si="1"/>
        <v>531.4</v>
      </c>
      <c r="H10" s="15">
        <f t="shared" si="1"/>
        <v>0.04</v>
      </c>
      <c r="I10" s="14">
        <f t="shared" si="1"/>
        <v>1.41</v>
      </c>
      <c r="J10" s="14">
        <f t="shared" si="1"/>
        <v>10.450000000000001</v>
      </c>
      <c r="K10" s="14">
        <f t="shared" si="1"/>
        <v>0.95</v>
      </c>
      <c r="L10" s="14">
        <f t="shared" si="1"/>
        <v>419.88</v>
      </c>
      <c r="M10" s="14">
        <f t="shared" si="1"/>
        <v>213.74</v>
      </c>
      <c r="N10" s="14">
        <f t="shared" si="1"/>
        <v>83.259999999999991</v>
      </c>
      <c r="O10" s="15">
        <f t="shared" si="1"/>
        <v>3.4400000000000004</v>
      </c>
      <c r="P10" s="5"/>
      <c r="Q10" s="5"/>
      <c r="R10" s="3"/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x14ac:dyDescent="0.3">
      <c r="A12" s="4" t="s">
        <v>103</v>
      </c>
      <c r="B12" s="7" t="s">
        <v>102</v>
      </c>
      <c r="C12" s="4">
        <v>100</v>
      </c>
      <c r="D12" s="8">
        <f>C12*1.3/100</f>
        <v>1.3</v>
      </c>
      <c r="E12" s="8">
        <f>C12*9.9/100</f>
        <v>9.9</v>
      </c>
      <c r="F12" s="8">
        <f>C12*8.4/100</f>
        <v>8.4</v>
      </c>
      <c r="G12" s="8">
        <f t="shared" ref="G12" si="2">F12*4+E12*9+D12*4</f>
        <v>127.90000000000002</v>
      </c>
      <c r="H12" s="8">
        <f>C12*0.1/100</f>
        <v>0.1</v>
      </c>
      <c r="I12" s="8">
        <f>C12*13/100</f>
        <v>13</v>
      </c>
      <c r="J12" s="9">
        <v>0</v>
      </c>
      <c r="K12" s="8">
        <f>C12*2.95/100</f>
        <v>2.95</v>
      </c>
      <c r="L12" s="8">
        <f>C12*40.4/100</f>
        <v>40.4</v>
      </c>
      <c r="M12" s="8">
        <f>C12*48.8/100</f>
        <v>48.8</v>
      </c>
      <c r="N12" s="8">
        <f>C12*23.4/100</f>
        <v>23.4</v>
      </c>
      <c r="O12" s="8">
        <f>C12*1.02/100</f>
        <v>1.02</v>
      </c>
      <c r="P12" s="5"/>
      <c r="Q12" s="5"/>
      <c r="R12" s="3" t="s">
        <v>21</v>
      </c>
      <c r="S12" s="2"/>
    </row>
    <row r="13" spans="1:19" x14ac:dyDescent="0.3">
      <c r="A13" s="4" t="s">
        <v>56</v>
      </c>
      <c r="B13" s="19" t="s">
        <v>55</v>
      </c>
      <c r="C13" s="4">
        <v>250</v>
      </c>
      <c r="D13" s="8">
        <f>C13*1.17/100</f>
        <v>2.9249999999999998</v>
      </c>
      <c r="E13" s="8">
        <f>C13*4.05/100</f>
        <v>10.125</v>
      </c>
      <c r="F13" s="8">
        <f>C13*6.94/100</f>
        <v>17.350000000000001</v>
      </c>
      <c r="G13" s="8">
        <f t="shared" ref="G13:G16" si="3">F13*4+E13*9+D13*4</f>
        <v>172.22499999999999</v>
      </c>
      <c r="H13" s="4">
        <v>0.09</v>
      </c>
      <c r="I13" s="8">
        <v>8.3800000000000008</v>
      </c>
      <c r="J13" s="9">
        <v>0</v>
      </c>
      <c r="K13" s="4">
        <v>2.35</v>
      </c>
      <c r="L13" s="8">
        <v>29.15</v>
      </c>
      <c r="M13" s="8">
        <v>56.73</v>
      </c>
      <c r="N13" s="8">
        <v>24.18</v>
      </c>
      <c r="O13" s="8">
        <v>0.9</v>
      </c>
      <c r="P13" s="5"/>
      <c r="Q13" s="5"/>
      <c r="R13" s="3"/>
      <c r="S13" s="2"/>
    </row>
    <row r="14" spans="1:19" ht="27.6" x14ac:dyDescent="0.3">
      <c r="A14" s="4" t="s">
        <v>58</v>
      </c>
      <c r="B14" s="19" t="s">
        <v>57</v>
      </c>
      <c r="C14" s="4">
        <v>200</v>
      </c>
      <c r="D14" s="8">
        <f>C14*2.4/100</f>
        <v>4.8</v>
      </c>
      <c r="E14" s="8">
        <f>C14*3.5/100</f>
        <v>7</v>
      </c>
      <c r="F14" s="8">
        <f>C14*25.8/100</f>
        <v>51.6</v>
      </c>
      <c r="G14" s="8">
        <f t="shared" si="3"/>
        <v>288.59999999999997</v>
      </c>
      <c r="H14" s="8">
        <f>C14*0.02/100</f>
        <v>0.04</v>
      </c>
      <c r="I14" s="8">
        <f>C14*0.4/100</f>
        <v>0.8</v>
      </c>
      <c r="J14" s="8">
        <f>C14*0.1/100</f>
        <v>0.2</v>
      </c>
      <c r="K14" s="8">
        <f>C14*1.5/100</f>
        <v>3</v>
      </c>
      <c r="L14" s="8">
        <f>C14*14/100</f>
        <v>28</v>
      </c>
      <c r="M14" s="8">
        <f>C14*41/100</f>
        <v>82</v>
      </c>
      <c r="N14" s="8">
        <f>C14*13/100</f>
        <v>26</v>
      </c>
      <c r="O14" s="8">
        <f>C14*0.4/100</f>
        <v>0.8</v>
      </c>
      <c r="P14" s="5"/>
      <c r="Q14" s="5"/>
      <c r="R14" s="3"/>
      <c r="S14" s="2"/>
    </row>
    <row r="15" spans="1:19" x14ac:dyDescent="0.3">
      <c r="A15" s="4" t="s">
        <v>60</v>
      </c>
      <c r="B15" s="7" t="s">
        <v>59</v>
      </c>
      <c r="C15" s="4">
        <v>100</v>
      </c>
      <c r="D15" s="8">
        <f>C15*12.8/100</f>
        <v>12.8</v>
      </c>
      <c r="E15" s="8">
        <f>C15*13.6/100</f>
        <v>13.6</v>
      </c>
      <c r="F15" s="8">
        <f>C15*9.9/100</f>
        <v>9.9</v>
      </c>
      <c r="G15" s="8">
        <f t="shared" si="3"/>
        <v>213.2</v>
      </c>
      <c r="H15" s="21">
        <f>C15*0.08/100</f>
        <v>0.08</v>
      </c>
      <c r="I15" s="21">
        <f>C15*0.8/100</f>
        <v>0.8</v>
      </c>
      <c r="J15" s="21">
        <f>C15*0.03/100</f>
        <v>0.03</v>
      </c>
      <c r="K15" s="21">
        <f>C15*0.2/100</f>
        <v>0.2</v>
      </c>
      <c r="L15" s="21">
        <f>C15*59/100</f>
        <v>59</v>
      </c>
      <c r="M15" s="21">
        <f>C15*169/100</f>
        <v>169</v>
      </c>
      <c r="N15" s="21">
        <f>C15*35/100</f>
        <v>35</v>
      </c>
      <c r="O15" s="21">
        <f>C15*1.1/100</f>
        <v>1.1000000000000001</v>
      </c>
      <c r="P15" s="5"/>
      <c r="Q15" s="5"/>
      <c r="R15" s="3"/>
      <c r="S15" s="2"/>
    </row>
    <row r="16" spans="1:19" x14ac:dyDescent="0.3">
      <c r="A16" s="4" t="s">
        <v>69</v>
      </c>
      <c r="B16" s="7" t="s">
        <v>45</v>
      </c>
      <c r="C16" s="4">
        <v>40</v>
      </c>
      <c r="D16" s="4">
        <f>C16*1.3/50</f>
        <v>1.04</v>
      </c>
      <c r="E16" s="4">
        <f>C16*4.8/50</f>
        <v>3.84</v>
      </c>
      <c r="F16" s="4">
        <f>C16*4.7/50</f>
        <v>3.76</v>
      </c>
      <c r="G16" s="4">
        <f t="shared" si="3"/>
        <v>53.760000000000005</v>
      </c>
      <c r="H16" s="25">
        <v>0</v>
      </c>
      <c r="I16" s="20">
        <v>0.39</v>
      </c>
      <c r="J16" s="25">
        <v>0</v>
      </c>
      <c r="K16" s="25">
        <v>0</v>
      </c>
      <c r="L16" s="20">
        <v>0.01</v>
      </c>
      <c r="M16" s="25">
        <v>0</v>
      </c>
      <c r="N16" s="25">
        <v>0</v>
      </c>
      <c r="O16" s="21">
        <v>0.1</v>
      </c>
      <c r="P16" s="5"/>
      <c r="Q16" s="5"/>
      <c r="R16" s="3"/>
      <c r="S16" s="2"/>
    </row>
    <row r="17" spans="1:19" x14ac:dyDescent="0.3">
      <c r="A17" s="4"/>
      <c r="B17" s="7" t="s">
        <v>20</v>
      </c>
      <c r="C17" s="4">
        <v>35</v>
      </c>
      <c r="D17" s="4">
        <v>1.88</v>
      </c>
      <c r="E17" s="8">
        <v>0.2</v>
      </c>
      <c r="F17" s="4">
        <v>12.13</v>
      </c>
      <c r="G17" s="8">
        <v>40.479999999999997</v>
      </c>
      <c r="H17" s="8">
        <v>0.03</v>
      </c>
      <c r="I17" s="9">
        <v>0</v>
      </c>
      <c r="J17" s="9">
        <v>0</v>
      </c>
      <c r="K17" s="4">
        <v>0.3</v>
      </c>
      <c r="L17" s="8">
        <v>5</v>
      </c>
      <c r="M17" s="8">
        <v>15.9</v>
      </c>
      <c r="N17" s="8">
        <v>3.43</v>
      </c>
      <c r="O17" s="4">
        <v>0.27</v>
      </c>
      <c r="P17" s="5"/>
      <c r="Q17" s="5"/>
      <c r="R17" s="3"/>
      <c r="S17" s="2"/>
    </row>
    <row r="18" spans="1:19" x14ac:dyDescent="0.3">
      <c r="A18" s="4"/>
      <c r="B18" s="7" t="s">
        <v>30</v>
      </c>
      <c r="C18" s="4">
        <v>30</v>
      </c>
      <c r="D18" s="4">
        <v>1.48</v>
      </c>
      <c r="E18" s="4">
        <v>0.24</v>
      </c>
      <c r="F18" s="4">
        <v>9.8000000000000007</v>
      </c>
      <c r="G18" s="4">
        <v>35.46</v>
      </c>
      <c r="H18" s="8">
        <v>0.03</v>
      </c>
      <c r="I18" s="9">
        <v>0</v>
      </c>
      <c r="J18" s="9">
        <v>0</v>
      </c>
      <c r="K18" s="4">
        <v>0.31</v>
      </c>
      <c r="L18" s="8">
        <v>7.87</v>
      </c>
      <c r="M18" s="8">
        <v>35.549999999999997</v>
      </c>
      <c r="N18" s="8">
        <v>10.6</v>
      </c>
      <c r="O18" s="4">
        <v>0.8</v>
      </c>
      <c r="P18" s="5"/>
      <c r="Q18" s="5"/>
      <c r="R18" s="3"/>
      <c r="S18" s="2"/>
    </row>
    <row r="19" spans="1:19" x14ac:dyDescent="0.3">
      <c r="A19" s="4" t="s">
        <v>70</v>
      </c>
      <c r="B19" s="7" t="s">
        <v>50</v>
      </c>
      <c r="C19" s="4">
        <v>200</v>
      </c>
      <c r="D19" s="8">
        <v>0.2</v>
      </c>
      <c r="E19" s="9">
        <v>0</v>
      </c>
      <c r="F19" s="8">
        <v>14</v>
      </c>
      <c r="G19" s="8">
        <f>F19*4+E19*9+D19*4</f>
        <v>56.8</v>
      </c>
      <c r="H19" s="9">
        <v>0</v>
      </c>
      <c r="I19" s="9">
        <v>0</v>
      </c>
      <c r="J19" s="9">
        <v>0</v>
      </c>
      <c r="K19" s="9">
        <v>0</v>
      </c>
      <c r="L19" s="8">
        <v>12</v>
      </c>
      <c r="M19" s="8">
        <v>4</v>
      </c>
      <c r="N19" s="8">
        <v>6</v>
      </c>
      <c r="O19" s="8">
        <v>0.8</v>
      </c>
      <c r="P19" s="5"/>
      <c r="Q19" s="5"/>
      <c r="R19" s="3"/>
      <c r="S19" s="2"/>
    </row>
    <row r="20" spans="1:19" x14ac:dyDescent="0.3">
      <c r="A20" s="4"/>
      <c r="B20" s="7" t="s">
        <v>61</v>
      </c>
      <c r="C20" s="4">
        <v>100</v>
      </c>
      <c r="D20" s="8">
        <v>0.4</v>
      </c>
      <c r="E20" s="8">
        <v>0.3</v>
      </c>
      <c r="F20" s="8">
        <v>10.3</v>
      </c>
      <c r="G20" s="8">
        <f t="shared" ref="G20" si="4">F20*4+E20*9+D20*4</f>
        <v>45.500000000000007</v>
      </c>
      <c r="H20" s="4">
        <v>0.02</v>
      </c>
      <c r="I20" s="8">
        <v>5</v>
      </c>
      <c r="J20" s="9">
        <v>0</v>
      </c>
      <c r="K20" s="8">
        <v>0.4</v>
      </c>
      <c r="L20" s="8">
        <v>19</v>
      </c>
      <c r="M20" s="8">
        <v>16</v>
      </c>
      <c r="N20" s="8">
        <v>12</v>
      </c>
      <c r="O20" s="8">
        <v>2.2999999999999998</v>
      </c>
      <c r="P20" s="5"/>
      <c r="Q20" s="5"/>
      <c r="R20" s="3"/>
      <c r="S20" s="2"/>
    </row>
    <row r="21" spans="1:19" x14ac:dyDescent="0.3">
      <c r="A21" s="100" t="s">
        <v>37</v>
      </c>
      <c r="B21" s="101"/>
      <c r="C21" s="4"/>
      <c r="D21" s="15">
        <f t="shared" ref="D21:O21" si="5">SUM(D12:D20)</f>
        <v>26.824999999999996</v>
      </c>
      <c r="E21" s="15">
        <f t="shared" si="5"/>
        <v>45.205000000000005</v>
      </c>
      <c r="F21" s="15">
        <f t="shared" si="5"/>
        <v>137.24</v>
      </c>
      <c r="G21" s="15">
        <f t="shared" si="5"/>
        <v>1033.925</v>
      </c>
      <c r="H21" s="15">
        <f t="shared" si="5"/>
        <v>0.39</v>
      </c>
      <c r="I21" s="15">
        <f t="shared" si="5"/>
        <v>28.370000000000005</v>
      </c>
      <c r="J21" s="15">
        <f t="shared" si="5"/>
        <v>0.23</v>
      </c>
      <c r="K21" s="15">
        <f t="shared" si="5"/>
        <v>9.5100000000000016</v>
      </c>
      <c r="L21" s="15">
        <f t="shared" si="5"/>
        <v>200.43</v>
      </c>
      <c r="M21" s="15">
        <f t="shared" si="5"/>
        <v>427.97999999999996</v>
      </c>
      <c r="N21" s="15">
        <f t="shared" si="5"/>
        <v>140.61000000000001</v>
      </c>
      <c r="O21" s="15">
        <f t="shared" si="5"/>
        <v>8.09</v>
      </c>
      <c r="P21" s="5"/>
      <c r="Q21" s="5"/>
      <c r="R21" s="3"/>
      <c r="S21" s="2"/>
    </row>
    <row r="22" spans="1:19" x14ac:dyDescent="0.3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5"/>
      <c r="Q22" s="5"/>
      <c r="R22" s="3"/>
      <c r="S22" s="2"/>
    </row>
    <row r="23" spans="1:19" x14ac:dyDescent="0.3">
      <c r="A23" s="100" t="s">
        <v>35</v>
      </c>
      <c r="B23" s="101"/>
      <c r="C23" s="4"/>
      <c r="D23" s="15">
        <f t="shared" ref="D23:O23" si="6">D10+D21</f>
        <v>41.904999999999994</v>
      </c>
      <c r="E23" s="15">
        <f t="shared" si="6"/>
        <v>60.485000000000007</v>
      </c>
      <c r="F23" s="15">
        <f t="shared" si="6"/>
        <v>221.72</v>
      </c>
      <c r="G23" s="14">
        <f t="shared" si="6"/>
        <v>1565.3249999999998</v>
      </c>
      <c r="H23" s="15">
        <f t="shared" si="6"/>
        <v>0.43</v>
      </c>
      <c r="I23" s="15">
        <f t="shared" si="6"/>
        <v>29.780000000000005</v>
      </c>
      <c r="J23" s="15">
        <f t="shared" si="6"/>
        <v>10.680000000000001</v>
      </c>
      <c r="K23" s="15">
        <f t="shared" si="6"/>
        <v>10.46</v>
      </c>
      <c r="L23" s="14">
        <f t="shared" si="6"/>
        <v>620.30999999999995</v>
      </c>
      <c r="M23" s="14">
        <f t="shared" si="6"/>
        <v>641.72</v>
      </c>
      <c r="N23" s="15">
        <f t="shared" si="6"/>
        <v>223.87</v>
      </c>
      <c r="O23" s="15">
        <f t="shared" si="6"/>
        <v>11.530000000000001</v>
      </c>
      <c r="P23" s="5"/>
      <c r="Q23" s="5"/>
      <c r="R23" s="3"/>
      <c r="S23" s="2"/>
    </row>
    <row r="24" spans="1:19" x14ac:dyDescent="0.3">
      <c r="A24" s="41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2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2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32"/>
    </row>
    <row r="33" spans="1:19" x14ac:dyDescent="0.3">
      <c r="A33" s="5"/>
      <c r="B33" s="1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S33" s="32"/>
    </row>
    <row r="34" spans="1:19" x14ac:dyDescent="0.3">
      <c r="A34" s="5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"/>
      <c r="S34" s="32"/>
    </row>
    <row r="35" spans="1:1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32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32"/>
    </row>
    <row r="37" spans="1:19" x14ac:dyDescent="0.3">
      <c r="A37" s="5" t="s">
        <v>21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32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2"/>
    </row>
    <row r="46" spans="1:1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3"/>
      <c r="N46" s="2"/>
    </row>
    <row r="47" spans="1:1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"/>
      <c r="N47" s="2"/>
    </row>
    <row r="48" spans="1:19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5"/>
      <c r="L48" s="5"/>
      <c r="M48" s="3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"/>
      <c r="L49" s="5"/>
      <c r="M49" s="3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5"/>
      <c r="L50" s="5"/>
      <c r="M50" s="3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5"/>
      <c r="L51" s="5"/>
      <c r="M51" s="3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6"/>
      <c r="L52" s="6"/>
      <c r="M52" s="2"/>
      <c r="N52" s="2"/>
    </row>
    <row r="53" spans="1:14" x14ac:dyDescent="0.3">
      <c r="K53" s="2"/>
    </row>
    <row r="54" spans="1:14" x14ac:dyDescent="0.3">
      <c r="K54" s="2"/>
    </row>
    <row r="55" spans="1:14" x14ac:dyDescent="0.3">
      <c r="K55" s="2"/>
    </row>
    <row r="56" spans="1:14" x14ac:dyDescent="0.3">
      <c r="K56" s="2"/>
    </row>
  </sheetData>
  <mergeCells count="17">
    <mergeCell ref="J1:O1"/>
    <mergeCell ref="J2:O2"/>
    <mergeCell ref="A3:A4"/>
    <mergeCell ref="B3:B4"/>
    <mergeCell ref="C3:C4"/>
    <mergeCell ref="D3:F3"/>
    <mergeCell ref="G3:G4"/>
    <mergeCell ref="H3:K3"/>
    <mergeCell ref="L3:O3"/>
    <mergeCell ref="A1:C1"/>
    <mergeCell ref="D1:H1"/>
    <mergeCell ref="D2:H2"/>
    <mergeCell ref="A11:O11"/>
    <mergeCell ref="A21:B21"/>
    <mergeCell ref="A22:O22"/>
    <mergeCell ref="A23:B23"/>
    <mergeCell ref="A10:B10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7.88671875" customWidth="1"/>
    <col min="3" max="3" width="8" customWidth="1"/>
    <col min="4" max="4" width="7.6640625" customWidth="1"/>
    <col min="5" max="5" width="7" customWidth="1"/>
    <col min="7" max="7" width="8.109375" customWidth="1"/>
    <col min="8" max="8" width="7.44140625" customWidth="1"/>
    <col min="9" max="9" width="6.44140625" customWidth="1"/>
    <col min="10" max="10" width="5.88671875" customWidth="1"/>
    <col min="11" max="14" width="7" customWidth="1"/>
    <col min="15" max="15" width="6.44140625" customWidth="1"/>
  </cols>
  <sheetData>
    <row r="1" spans="1:19" ht="15.75" customHeight="1" x14ac:dyDescent="0.35">
      <c r="A1" s="90" t="s">
        <v>138</v>
      </c>
      <c r="B1" s="90"/>
      <c r="C1" s="90"/>
      <c r="D1" s="91" t="s">
        <v>108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  <c r="P1" s="3"/>
      <c r="Q1" s="3"/>
      <c r="R1" s="3"/>
      <c r="S1" s="2"/>
    </row>
    <row r="2" spans="1:19" ht="17.399999999999999" x14ac:dyDescent="0.35">
      <c r="A2" s="44" t="s">
        <v>120</v>
      </c>
      <c r="B2" s="44"/>
      <c r="C2" s="48"/>
      <c r="D2" s="92" t="s">
        <v>164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  <c r="P2" s="3"/>
      <c r="Q2" s="3"/>
      <c r="R2" s="3"/>
      <c r="S2" s="2"/>
    </row>
    <row r="3" spans="1:19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5"/>
      <c r="Q4" s="5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5"/>
      <c r="Q5" s="5"/>
      <c r="R5" s="3"/>
      <c r="S5" s="2"/>
    </row>
    <row r="6" spans="1:19" ht="27.6" x14ac:dyDescent="0.3">
      <c r="A6" s="4" t="s">
        <v>39</v>
      </c>
      <c r="B6" s="19" t="s">
        <v>38</v>
      </c>
      <c r="C6" s="4">
        <v>200</v>
      </c>
      <c r="D6" s="8">
        <f>C6*2.9/100</f>
        <v>5.8</v>
      </c>
      <c r="E6" s="8">
        <f>C6*4.2/100</f>
        <v>8.4</v>
      </c>
      <c r="F6" s="8">
        <f>C6*14.5/100</f>
        <v>29</v>
      </c>
      <c r="G6" s="8">
        <f>F6*4+E6*9+D6*4</f>
        <v>214.8</v>
      </c>
      <c r="H6" s="8">
        <f>C6*0.03/100</f>
        <v>0.06</v>
      </c>
      <c r="I6" s="9">
        <v>0</v>
      </c>
      <c r="J6" s="9">
        <v>0</v>
      </c>
      <c r="K6" s="8">
        <f>C6*1.1/100</f>
        <v>2.2000000000000002</v>
      </c>
      <c r="L6" s="8">
        <f>C6*12/100</f>
        <v>24</v>
      </c>
      <c r="M6" s="8">
        <f>C6*18/100</f>
        <v>36</v>
      </c>
      <c r="N6" s="8">
        <f>C6*5/100</f>
        <v>10</v>
      </c>
      <c r="O6" s="8">
        <f>C6*0.2/100</f>
        <v>0.4</v>
      </c>
      <c r="P6" s="5"/>
      <c r="Q6" s="5"/>
      <c r="R6" s="3"/>
      <c r="S6" s="2"/>
    </row>
    <row r="7" spans="1:19" x14ac:dyDescent="0.3">
      <c r="A7" s="4"/>
      <c r="B7" s="7" t="s">
        <v>20</v>
      </c>
      <c r="C7" s="60">
        <v>40</v>
      </c>
      <c r="D7" s="63">
        <v>3.04</v>
      </c>
      <c r="E7" s="63">
        <v>0.36</v>
      </c>
      <c r="F7" s="63">
        <v>19.88</v>
      </c>
      <c r="G7" s="63">
        <v>90.4</v>
      </c>
      <c r="H7" s="63">
        <v>0</v>
      </c>
      <c r="I7" s="63">
        <v>0</v>
      </c>
      <c r="J7" s="63">
        <v>10.4</v>
      </c>
      <c r="K7" s="63">
        <v>0.44</v>
      </c>
      <c r="L7" s="63">
        <v>33.200000000000003</v>
      </c>
      <c r="M7" s="63">
        <v>33.200000000000003</v>
      </c>
      <c r="N7" s="63">
        <v>14</v>
      </c>
      <c r="O7" s="4">
        <v>0.64</v>
      </c>
      <c r="P7" s="5"/>
      <c r="Q7" s="5"/>
      <c r="R7" s="3"/>
      <c r="S7" s="2"/>
    </row>
    <row r="8" spans="1:19" ht="27.6" x14ac:dyDescent="0.3">
      <c r="A8" s="4"/>
      <c r="B8" s="64" t="s">
        <v>136</v>
      </c>
      <c r="C8" s="61">
        <v>200</v>
      </c>
      <c r="D8" s="8">
        <v>5</v>
      </c>
      <c r="E8" s="8">
        <v>5.6</v>
      </c>
      <c r="F8" s="8">
        <v>29.8</v>
      </c>
      <c r="G8" s="8">
        <v>186</v>
      </c>
      <c r="H8" s="8">
        <v>0.06</v>
      </c>
      <c r="I8" s="8">
        <v>1.2</v>
      </c>
      <c r="J8" s="8">
        <v>0.02</v>
      </c>
      <c r="K8" s="9">
        <v>0</v>
      </c>
      <c r="L8" s="4">
        <v>248</v>
      </c>
      <c r="M8" s="8">
        <v>91</v>
      </c>
      <c r="N8" s="8">
        <v>30</v>
      </c>
      <c r="O8" s="8">
        <v>0.1</v>
      </c>
      <c r="P8" s="5"/>
      <c r="Q8" s="5"/>
      <c r="R8" s="3" t="s">
        <v>21</v>
      </c>
      <c r="S8" s="2"/>
    </row>
    <row r="9" spans="1:19" x14ac:dyDescent="0.3">
      <c r="A9" s="100" t="s">
        <v>36</v>
      </c>
      <c r="B9" s="101"/>
      <c r="C9" s="14"/>
      <c r="D9" s="14">
        <f t="shared" ref="D9:O9" si="0">SUM(D6:D8)</f>
        <v>13.84</v>
      </c>
      <c r="E9" s="14">
        <f t="shared" si="0"/>
        <v>14.36</v>
      </c>
      <c r="F9" s="15">
        <f t="shared" si="0"/>
        <v>78.679999999999993</v>
      </c>
      <c r="G9" s="15">
        <f t="shared" si="0"/>
        <v>491.20000000000005</v>
      </c>
      <c r="H9" s="15">
        <f t="shared" si="0"/>
        <v>0.12</v>
      </c>
      <c r="I9" s="15">
        <f t="shared" si="0"/>
        <v>1.2</v>
      </c>
      <c r="J9" s="14">
        <f t="shared" si="0"/>
        <v>10.42</v>
      </c>
      <c r="K9" s="14">
        <f t="shared" si="0"/>
        <v>2.64</v>
      </c>
      <c r="L9" s="14">
        <f t="shared" si="0"/>
        <v>305.2</v>
      </c>
      <c r="M9" s="15">
        <f t="shared" si="0"/>
        <v>160.19999999999999</v>
      </c>
      <c r="N9" s="15">
        <f t="shared" si="0"/>
        <v>54</v>
      </c>
      <c r="O9" s="14">
        <f t="shared" si="0"/>
        <v>1.1400000000000001</v>
      </c>
      <c r="P9" s="5"/>
      <c r="Q9" s="5"/>
      <c r="R9" s="3"/>
      <c r="S9" s="2"/>
    </row>
    <row r="10" spans="1:19" x14ac:dyDescent="0.3">
      <c r="A10" s="104" t="s">
        <v>23</v>
      </c>
      <c r="B10" s="103"/>
      <c r="C10" s="103"/>
      <c r="D10" s="103"/>
      <c r="E10" s="103"/>
      <c r="F10" s="103"/>
      <c r="G10" s="103"/>
      <c r="H10" s="102"/>
      <c r="I10" s="102"/>
      <c r="J10" s="102"/>
      <c r="K10" s="102"/>
      <c r="L10" s="102"/>
      <c r="M10" s="102"/>
      <c r="N10" s="102"/>
      <c r="O10" s="101"/>
      <c r="P10" s="5"/>
      <c r="Q10" s="5"/>
      <c r="R10" s="3"/>
      <c r="S10" s="2"/>
    </row>
    <row r="11" spans="1:19" x14ac:dyDescent="0.3">
      <c r="A11" s="63" t="s">
        <v>141</v>
      </c>
      <c r="B11" s="76" t="s">
        <v>142</v>
      </c>
      <c r="C11" s="63">
        <v>100</v>
      </c>
      <c r="D11" s="63">
        <v>1.4</v>
      </c>
      <c r="E11" s="63">
        <v>5</v>
      </c>
      <c r="F11" s="63">
        <v>20.7</v>
      </c>
      <c r="G11" s="63">
        <v>120.4</v>
      </c>
      <c r="H11" s="4">
        <v>0.03</v>
      </c>
      <c r="I11" s="8">
        <v>8.1999999999999993</v>
      </c>
      <c r="J11" s="9">
        <v>0</v>
      </c>
      <c r="K11" s="8">
        <v>0.05</v>
      </c>
      <c r="L11" s="8">
        <v>39</v>
      </c>
      <c r="M11" s="8">
        <v>48.2</v>
      </c>
      <c r="N11" s="8">
        <v>22.2</v>
      </c>
      <c r="O11" s="8">
        <v>1.5</v>
      </c>
      <c r="P11" s="5"/>
      <c r="Q11" s="5"/>
      <c r="R11" s="3"/>
      <c r="S11" s="2"/>
    </row>
    <row r="12" spans="1:19" ht="27.6" x14ac:dyDescent="0.3">
      <c r="A12" s="70" t="s">
        <v>139</v>
      </c>
      <c r="B12" s="64" t="s">
        <v>140</v>
      </c>
      <c r="C12" s="70">
        <v>250</v>
      </c>
      <c r="D12" s="70">
        <v>12.5</v>
      </c>
      <c r="E12" s="70">
        <v>9.1199999999999992</v>
      </c>
      <c r="F12" s="70">
        <v>19.87</v>
      </c>
      <c r="G12" s="70">
        <v>206.8</v>
      </c>
      <c r="H12" s="67">
        <v>0.12</v>
      </c>
      <c r="I12" s="8">
        <v>8.17</v>
      </c>
      <c r="J12" s="9">
        <v>0.75</v>
      </c>
      <c r="K12" s="8">
        <v>0.12</v>
      </c>
      <c r="L12" s="8">
        <v>23.9</v>
      </c>
      <c r="M12" s="8">
        <v>107.5</v>
      </c>
      <c r="N12" s="8">
        <v>17.5</v>
      </c>
      <c r="O12" s="8">
        <v>0.67</v>
      </c>
      <c r="P12" s="5"/>
      <c r="Q12" s="5"/>
      <c r="R12" s="3"/>
      <c r="S12" s="2"/>
    </row>
    <row r="13" spans="1:19" x14ac:dyDescent="0.3">
      <c r="A13" s="4" t="s">
        <v>27</v>
      </c>
      <c r="B13" s="7" t="s">
        <v>26</v>
      </c>
      <c r="C13" s="20">
        <v>200</v>
      </c>
      <c r="D13" s="8">
        <f>C13*2.1/100</f>
        <v>4.2</v>
      </c>
      <c r="E13" s="8">
        <f>C13*4.5/100</f>
        <v>9</v>
      </c>
      <c r="F13" s="8">
        <f>C13*14.6/100</f>
        <v>29.2</v>
      </c>
      <c r="G13" s="8">
        <f t="shared" ref="G13:G18" si="1">F13*4+E13*9+D13*4</f>
        <v>214.60000000000002</v>
      </c>
      <c r="H13" s="8">
        <f>C13*0.1/100</f>
        <v>0.2</v>
      </c>
      <c r="I13" s="8">
        <f>C13*3.7/100</f>
        <v>7.4</v>
      </c>
      <c r="J13" s="8">
        <v>0.04</v>
      </c>
      <c r="K13" s="8">
        <f>C13*0.1/100</f>
        <v>0.2</v>
      </c>
      <c r="L13" s="8">
        <f>C13*27/100</f>
        <v>54</v>
      </c>
      <c r="M13" s="8">
        <f>C13*56/100</f>
        <v>112</v>
      </c>
      <c r="N13" s="8">
        <f>C13*20/100</f>
        <v>40</v>
      </c>
      <c r="O13" s="8">
        <f>C13*0.7/100</f>
        <v>1.4</v>
      </c>
      <c r="P13" s="5"/>
      <c r="Q13" s="5"/>
      <c r="R13" s="3"/>
      <c r="S13" s="51"/>
    </row>
    <row r="14" spans="1:19" x14ac:dyDescent="0.3">
      <c r="A14" s="4" t="s">
        <v>124</v>
      </c>
      <c r="B14" s="7" t="s">
        <v>44</v>
      </c>
      <c r="C14" s="4">
        <v>100</v>
      </c>
      <c r="D14" s="8">
        <f>C14*14.3/100</f>
        <v>14.3</v>
      </c>
      <c r="E14" s="8">
        <f>C14*17.1/100</f>
        <v>17.100000000000001</v>
      </c>
      <c r="F14" s="8">
        <f>C14*9.5/100</f>
        <v>9.5</v>
      </c>
      <c r="G14" s="8">
        <f t="shared" si="1"/>
        <v>249.10000000000002</v>
      </c>
      <c r="H14" s="21">
        <f>C14*0.08/100</f>
        <v>0.08</v>
      </c>
      <c r="I14" s="21">
        <f>C14*0.8/100</f>
        <v>0.8</v>
      </c>
      <c r="J14" s="21">
        <f>C14*0.04/100</f>
        <v>0.04</v>
      </c>
      <c r="K14" s="21">
        <f>C14*1.8/100</f>
        <v>1.8</v>
      </c>
      <c r="L14" s="21">
        <f>C14*58/100</f>
        <v>58</v>
      </c>
      <c r="M14" s="21">
        <f>C14*108/100</f>
        <v>108</v>
      </c>
      <c r="N14" s="21">
        <f>C14*30/100</f>
        <v>30</v>
      </c>
      <c r="O14" s="21">
        <f>C14*1.8/100</f>
        <v>1.8</v>
      </c>
      <c r="P14" s="5"/>
      <c r="Q14" s="5"/>
      <c r="R14" s="3"/>
      <c r="S14" s="2"/>
    </row>
    <row r="15" spans="1:19" x14ac:dyDescent="0.3">
      <c r="A15" s="4"/>
      <c r="B15" s="7" t="s">
        <v>20</v>
      </c>
      <c r="C15" s="4">
        <v>35</v>
      </c>
      <c r="D15" s="4">
        <v>1.88</v>
      </c>
      <c r="E15" s="8">
        <v>0.2</v>
      </c>
      <c r="F15" s="4">
        <v>12.13</v>
      </c>
      <c r="G15" s="8">
        <v>40.479999999999997</v>
      </c>
      <c r="H15" s="8">
        <v>0.03</v>
      </c>
      <c r="I15" s="9">
        <v>0</v>
      </c>
      <c r="J15" s="9">
        <v>0</v>
      </c>
      <c r="K15" s="4">
        <v>0.3</v>
      </c>
      <c r="L15" s="8">
        <v>5</v>
      </c>
      <c r="M15" s="8">
        <v>15.9</v>
      </c>
      <c r="N15" s="8">
        <v>3.43</v>
      </c>
      <c r="O15" s="4">
        <v>0.27</v>
      </c>
      <c r="P15" s="5"/>
      <c r="Q15" s="5"/>
      <c r="R15" s="3"/>
      <c r="S15" s="2"/>
    </row>
    <row r="16" spans="1:19" x14ac:dyDescent="0.3">
      <c r="A16" s="4"/>
      <c r="B16" s="7" t="s">
        <v>30</v>
      </c>
      <c r="C16" s="4">
        <v>30</v>
      </c>
      <c r="D16" s="4">
        <v>1.48</v>
      </c>
      <c r="E16" s="4">
        <v>0.24</v>
      </c>
      <c r="F16" s="4">
        <v>9.8000000000000007</v>
      </c>
      <c r="G16" s="4">
        <v>35.46</v>
      </c>
      <c r="H16" s="8">
        <v>0.03</v>
      </c>
      <c r="I16" s="9">
        <v>0</v>
      </c>
      <c r="J16" s="9">
        <v>0</v>
      </c>
      <c r="K16" s="4">
        <v>0.31</v>
      </c>
      <c r="L16" s="8">
        <v>7.87</v>
      </c>
      <c r="M16" s="8">
        <v>35.549999999999997</v>
      </c>
      <c r="N16" s="8">
        <v>10.6</v>
      </c>
      <c r="O16" s="4">
        <v>0.8</v>
      </c>
      <c r="P16" s="5"/>
      <c r="Q16" s="5"/>
      <c r="R16" s="3"/>
      <c r="S16" s="2"/>
    </row>
    <row r="17" spans="1:19" x14ac:dyDescent="0.3">
      <c r="A17" s="4" t="s">
        <v>47</v>
      </c>
      <c r="B17" s="7" t="s">
        <v>46</v>
      </c>
      <c r="C17" s="4">
        <v>200</v>
      </c>
      <c r="D17" s="8">
        <v>0.3</v>
      </c>
      <c r="E17" s="9">
        <v>0</v>
      </c>
      <c r="F17" s="8">
        <v>15.2</v>
      </c>
      <c r="G17" s="8">
        <f t="shared" si="1"/>
        <v>62</v>
      </c>
      <c r="H17" s="9">
        <v>0</v>
      </c>
      <c r="I17" s="8">
        <v>2.2000000000000002</v>
      </c>
      <c r="J17" s="9">
        <v>0</v>
      </c>
      <c r="K17" s="9">
        <v>0</v>
      </c>
      <c r="L17" s="8">
        <v>16</v>
      </c>
      <c r="M17" s="8">
        <v>8</v>
      </c>
      <c r="N17" s="8">
        <v>6</v>
      </c>
      <c r="O17" s="8">
        <v>0.8</v>
      </c>
      <c r="P17" s="5"/>
      <c r="Q17" s="5"/>
      <c r="R17" s="3"/>
      <c r="S17" s="2"/>
    </row>
    <row r="18" spans="1:19" x14ac:dyDescent="0.3">
      <c r="A18" s="4"/>
      <c r="B18" s="7" t="s">
        <v>48</v>
      </c>
      <c r="C18" s="4">
        <v>100</v>
      </c>
      <c r="D18" s="8">
        <v>1.5</v>
      </c>
      <c r="E18" s="8">
        <v>0.5</v>
      </c>
      <c r="F18" s="8">
        <v>21</v>
      </c>
      <c r="G18" s="8">
        <f t="shared" si="1"/>
        <v>94.5</v>
      </c>
      <c r="H18" s="4">
        <v>0.04</v>
      </c>
      <c r="I18" s="8">
        <v>10</v>
      </c>
      <c r="J18" s="9">
        <v>0</v>
      </c>
      <c r="K18" s="8">
        <v>0.4</v>
      </c>
      <c r="L18" s="8">
        <v>8</v>
      </c>
      <c r="M18" s="8">
        <v>28</v>
      </c>
      <c r="N18" s="8">
        <v>42</v>
      </c>
      <c r="O18" s="8">
        <v>0.6</v>
      </c>
      <c r="P18" s="5"/>
      <c r="Q18" s="5"/>
      <c r="R18" s="3"/>
      <c r="S18" s="2"/>
    </row>
    <row r="19" spans="1:19" x14ac:dyDescent="0.3">
      <c r="A19" s="100" t="s">
        <v>37</v>
      </c>
      <c r="B19" s="101"/>
      <c r="C19" s="4"/>
      <c r="D19" s="14">
        <f t="shared" ref="D19:O19" si="2">SUM(D11:D18)</f>
        <v>37.56</v>
      </c>
      <c r="E19" s="15">
        <f t="shared" si="2"/>
        <v>41.160000000000004</v>
      </c>
      <c r="F19" s="14">
        <f t="shared" si="2"/>
        <v>137.39999999999998</v>
      </c>
      <c r="G19" s="15">
        <f t="shared" si="2"/>
        <v>1023.3400000000001</v>
      </c>
      <c r="H19" s="15">
        <f t="shared" si="2"/>
        <v>0.53</v>
      </c>
      <c r="I19" s="15">
        <f t="shared" si="2"/>
        <v>36.769999999999996</v>
      </c>
      <c r="J19" s="15">
        <f t="shared" si="2"/>
        <v>0.83000000000000007</v>
      </c>
      <c r="K19" s="15">
        <f t="shared" si="2"/>
        <v>3.1799999999999997</v>
      </c>
      <c r="L19" s="15">
        <f t="shared" si="2"/>
        <v>211.77</v>
      </c>
      <c r="M19" s="15">
        <f t="shared" si="2"/>
        <v>463.15</v>
      </c>
      <c r="N19" s="15">
        <f t="shared" si="2"/>
        <v>171.73000000000002</v>
      </c>
      <c r="O19" s="15">
        <f t="shared" si="2"/>
        <v>7.84</v>
      </c>
      <c r="P19" s="5"/>
      <c r="Q19" s="5"/>
      <c r="R19" s="3"/>
      <c r="S19" s="2"/>
    </row>
    <row r="20" spans="1:19" x14ac:dyDescent="0.3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5"/>
      <c r="Q20" s="5"/>
      <c r="R20" s="3"/>
      <c r="S20" s="2"/>
    </row>
    <row r="21" spans="1:19" x14ac:dyDescent="0.3">
      <c r="A21" s="100" t="s">
        <v>35</v>
      </c>
      <c r="B21" s="101"/>
      <c r="C21" s="4"/>
      <c r="D21" s="15">
        <f t="shared" ref="D21:O21" si="3">D9+D19</f>
        <v>51.400000000000006</v>
      </c>
      <c r="E21" s="15">
        <f t="shared" si="3"/>
        <v>55.52</v>
      </c>
      <c r="F21" s="15">
        <f t="shared" si="3"/>
        <v>216.07999999999998</v>
      </c>
      <c r="G21" s="14">
        <f t="shared" si="3"/>
        <v>1514.5400000000002</v>
      </c>
      <c r="H21" s="15">
        <f t="shared" si="3"/>
        <v>0.65</v>
      </c>
      <c r="I21" s="15">
        <f t="shared" si="3"/>
        <v>37.97</v>
      </c>
      <c r="J21" s="15">
        <f t="shared" si="3"/>
        <v>11.25</v>
      </c>
      <c r="K21" s="15">
        <f t="shared" si="3"/>
        <v>5.82</v>
      </c>
      <c r="L21" s="14">
        <f t="shared" si="3"/>
        <v>516.97</v>
      </c>
      <c r="M21" s="15">
        <f t="shared" si="3"/>
        <v>623.34999999999991</v>
      </c>
      <c r="N21" s="15">
        <f t="shared" si="3"/>
        <v>225.73000000000002</v>
      </c>
      <c r="O21" s="14">
        <f t="shared" si="3"/>
        <v>8.98</v>
      </c>
      <c r="P21" s="5"/>
      <c r="Q21" s="5"/>
      <c r="R21" s="3"/>
      <c r="S21" s="2"/>
    </row>
    <row r="22" spans="1:19" x14ac:dyDescent="0.3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2"/>
    </row>
    <row r="31" spans="1:19" x14ac:dyDescent="0.3">
      <c r="A31" s="5" t="s">
        <v>21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  <c r="N31" s="2"/>
      <c r="P31" s="5"/>
      <c r="Q31" s="5"/>
      <c r="R31" s="3"/>
      <c r="S31" s="2"/>
    </row>
    <row r="32" spans="1:1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  <c r="N32" s="2"/>
      <c r="P32" s="5"/>
      <c r="Q32" s="5"/>
      <c r="R32" s="3"/>
      <c r="S32" s="2"/>
    </row>
    <row r="33" spans="1: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2"/>
    </row>
    <row r="34" spans="1: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2"/>
    </row>
    <row r="35" spans="1: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2"/>
    </row>
    <row r="36" spans="1: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2"/>
      <c r="N40" s="2"/>
    </row>
    <row r="41" spans="1: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2"/>
    </row>
    <row r="42" spans="1:14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L3:O3"/>
    <mergeCell ref="A9:B9"/>
    <mergeCell ref="A10:O10"/>
    <mergeCell ref="A19:B19"/>
    <mergeCell ref="A20:O20"/>
    <mergeCell ref="G3:G4"/>
    <mergeCell ref="H3:K3"/>
    <mergeCell ref="A21:B21"/>
    <mergeCell ref="A3:A4"/>
    <mergeCell ref="B3:B4"/>
    <mergeCell ref="C3:C4"/>
    <mergeCell ref="D3:F3"/>
    <mergeCell ref="D2:H2"/>
    <mergeCell ref="D1:H1"/>
    <mergeCell ref="A1:C1"/>
    <mergeCell ref="J1:O1"/>
    <mergeCell ref="J2:O2"/>
  </mergeCells>
  <pageMargins left="0.69791666666666663" right="0.42708333333333331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8.109375" customWidth="1"/>
    <col min="2" max="2" width="28.44140625" customWidth="1"/>
    <col min="3" max="3" width="8" customWidth="1"/>
    <col min="4" max="4" width="7.6640625" customWidth="1"/>
    <col min="5" max="5" width="7" customWidth="1"/>
    <col min="7" max="7" width="7.44140625" customWidth="1"/>
    <col min="8" max="8" width="5.6640625" customWidth="1"/>
    <col min="9" max="9" width="7.33203125" customWidth="1"/>
    <col min="10" max="10" width="5.88671875" customWidth="1"/>
    <col min="11" max="11" width="6" customWidth="1"/>
    <col min="12" max="12" width="6.44140625" customWidth="1"/>
    <col min="13" max="13" width="8.6640625" customWidth="1"/>
    <col min="14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108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166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x14ac:dyDescent="0.3">
      <c r="A6" s="4" t="s">
        <v>84</v>
      </c>
      <c r="B6" s="19" t="s">
        <v>83</v>
      </c>
      <c r="C6" s="4">
        <v>200</v>
      </c>
      <c r="D6" s="8">
        <f>C6*2.4/100</f>
        <v>4.8</v>
      </c>
      <c r="E6" s="8">
        <f>C6*3.5/100</f>
        <v>7</v>
      </c>
      <c r="F6" s="8">
        <f>C6*25.8/100</f>
        <v>51.6</v>
      </c>
      <c r="G6" s="8">
        <f>F6*4+E6*9+D6*4</f>
        <v>288.59999999999997</v>
      </c>
      <c r="H6" s="21">
        <f>C6*0.02/100</f>
        <v>0.04</v>
      </c>
      <c r="I6" s="25">
        <v>0</v>
      </c>
      <c r="J6" s="25">
        <v>0</v>
      </c>
      <c r="K6" s="21">
        <f>C6*1/100</f>
        <v>2</v>
      </c>
      <c r="L6" s="21">
        <f>C6*10/100</f>
        <v>20</v>
      </c>
      <c r="M6" s="21">
        <f>C6*51/100</f>
        <v>102</v>
      </c>
      <c r="N6" s="21">
        <f>C6*18/100</f>
        <v>36</v>
      </c>
      <c r="O6" s="21">
        <f>C6*0.4/100</f>
        <v>0.8</v>
      </c>
      <c r="P6" s="5"/>
      <c r="Q6" s="5"/>
      <c r="R6" s="3"/>
      <c r="S6" s="2"/>
    </row>
    <row r="7" spans="1:19" x14ac:dyDescent="0.3">
      <c r="A7" s="4" t="s">
        <v>134</v>
      </c>
      <c r="B7" s="7" t="s">
        <v>135</v>
      </c>
      <c r="C7" s="4">
        <v>20</v>
      </c>
      <c r="D7" s="4">
        <v>0.16</v>
      </c>
      <c r="E7" s="8">
        <v>14.5</v>
      </c>
      <c r="F7" s="8">
        <v>0.26</v>
      </c>
      <c r="G7" s="8">
        <v>132</v>
      </c>
      <c r="H7" s="25">
        <v>0</v>
      </c>
      <c r="I7" s="25">
        <v>0</v>
      </c>
      <c r="J7" s="25">
        <v>0.2</v>
      </c>
      <c r="K7" s="25">
        <v>0</v>
      </c>
      <c r="L7" s="25">
        <v>2</v>
      </c>
      <c r="M7" s="25">
        <v>0</v>
      </c>
      <c r="N7" s="25">
        <v>4</v>
      </c>
      <c r="O7" s="25">
        <v>0</v>
      </c>
      <c r="P7" s="5"/>
      <c r="Q7" s="5"/>
      <c r="R7" s="3"/>
      <c r="S7" s="2"/>
    </row>
    <row r="8" spans="1:19" x14ac:dyDescent="0.3">
      <c r="A8" s="4"/>
      <c r="B8" s="7" t="s">
        <v>20</v>
      </c>
      <c r="C8" s="60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x14ac:dyDescent="0.3">
      <c r="A9" s="4"/>
      <c r="B9" s="7" t="s">
        <v>73</v>
      </c>
      <c r="C9" s="4">
        <v>200</v>
      </c>
      <c r="D9" s="8">
        <v>1</v>
      </c>
      <c r="E9" s="8">
        <v>0.2</v>
      </c>
      <c r="F9" s="8">
        <v>20.2</v>
      </c>
      <c r="G9" s="8">
        <f>F9*4+E9*9+D9*4</f>
        <v>86.6</v>
      </c>
      <c r="H9" s="4">
        <v>0.02</v>
      </c>
      <c r="I9" s="9">
        <v>4</v>
      </c>
      <c r="J9" s="9">
        <v>0</v>
      </c>
      <c r="K9" s="8">
        <v>0.2</v>
      </c>
      <c r="L9" s="8">
        <v>14</v>
      </c>
      <c r="M9" s="8">
        <v>14</v>
      </c>
      <c r="N9" s="8">
        <v>8</v>
      </c>
      <c r="O9" s="8">
        <v>2.8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0">SUM(D6:D9)</f>
        <v>9</v>
      </c>
      <c r="E10" s="14">
        <f t="shared" si="0"/>
        <v>22.06</v>
      </c>
      <c r="F10" s="15">
        <f t="shared" si="0"/>
        <v>91.94</v>
      </c>
      <c r="G10" s="14">
        <f t="shared" si="0"/>
        <v>597.6</v>
      </c>
      <c r="H10" s="15">
        <f t="shared" si="0"/>
        <v>0.06</v>
      </c>
      <c r="I10" s="15">
        <f t="shared" si="0"/>
        <v>4</v>
      </c>
      <c r="J10" s="14">
        <f t="shared" si="0"/>
        <v>10.6</v>
      </c>
      <c r="K10" s="14">
        <f t="shared" si="0"/>
        <v>2.64</v>
      </c>
      <c r="L10" s="14">
        <f t="shared" si="0"/>
        <v>69.2</v>
      </c>
      <c r="M10" s="15">
        <f t="shared" si="0"/>
        <v>149.19999999999999</v>
      </c>
      <c r="N10" s="14">
        <f t="shared" si="0"/>
        <v>62</v>
      </c>
      <c r="O10" s="14">
        <f t="shared" si="0"/>
        <v>4.24</v>
      </c>
      <c r="P10" s="5"/>
      <c r="Q10" s="5"/>
      <c r="R10" s="3" t="s">
        <v>21</v>
      </c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x14ac:dyDescent="0.3">
      <c r="A12" s="4" t="s">
        <v>126</v>
      </c>
      <c r="B12" s="19" t="s">
        <v>74</v>
      </c>
      <c r="C12" s="4">
        <v>100</v>
      </c>
      <c r="D12" s="8">
        <v>0.6</v>
      </c>
      <c r="E12" s="8">
        <v>7.1</v>
      </c>
      <c r="F12" s="8">
        <v>3</v>
      </c>
      <c r="G12" s="8">
        <f t="shared" ref="G12:G14" si="1">F12*4+E12*9+D12*4</f>
        <v>78.300000000000011</v>
      </c>
      <c r="H12" s="21">
        <f>C12*0.03/100</f>
        <v>0.03</v>
      </c>
      <c r="I12" s="21">
        <f>C12*7/100</f>
        <v>7</v>
      </c>
      <c r="J12" s="25">
        <v>0</v>
      </c>
      <c r="K12" s="21">
        <f>C12*0.1/100</f>
        <v>0.1</v>
      </c>
      <c r="L12" s="21">
        <f>C12*17/100</f>
        <v>17</v>
      </c>
      <c r="M12" s="21">
        <f>C12*30/100</f>
        <v>30</v>
      </c>
      <c r="N12" s="21">
        <f>C12*14/100</f>
        <v>14</v>
      </c>
      <c r="O12" s="21">
        <f>C12*0.5/100</f>
        <v>0.5</v>
      </c>
      <c r="P12" s="5"/>
      <c r="Q12" s="5"/>
      <c r="R12" s="3"/>
      <c r="S12" s="2"/>
    </row>
    <row r="13" spans="1:19" x14ac:dyDescent="0.3">
      <c r="A13" s="4" t="s">
        <v>72</v>
      </c>
      <c r="B13" s="19" t="s">
        <v>71</v>
      </c>
      <c r="C13" s="4">
        <v>250</v>
      </c>
      <c r="D13" s="8">
        <f>C13*0.89/100</f>
        <v>2.2250000000000001</v>
      </c>
      <c r="E13" s="8">
        <f>C13*1.19/100</f>
        <v>2.9750000000000001</v>
      </c>
      <c r="F13" s="8">
        <f>C13*5.65/100</f>
        <v>14.125</v>
      </c>
      <c r="G13" s="8">
        <f t="shared" si="1"/>
        <v>92.175000000000011</v>
      </c>
      <c r="H13" s="25">
        <v>0</v>
      </c>
      <c r="I13" s="21">
        <v>9.92</v>
      </c>
      <c r="J13" s="21">
        <v>0.02</v>
      </c>
      <c r="K13" s="25">
        <v>0</v>
      </c>
      <c r="L13" s="8">
        <v>37.72</v>
      </c>
      <c r="M13" s="21">
        <v>109.4</v>
      </c>
      <c r="N13" s="21">
        <v>14.18</v>
      </c>
      <c r="O13" s="21">
        <v>0.71</v>
      </c>
      <c r="P13" s="5"/>
      <c r="Q13" s="5"/>
      <c r="R13" s="3"/>
      <c r="S13" s="2"/>
    </row>
    <row r="14" spans="1:19" x14ac:dyDescent="0.3">
      <c r="A14" s="4" t="s">
        <v>82</v>
      </c>
      <c r="B14" s="19" t="s">
        <v>81</v>
      </c>
      <c r="C14" s="4">
        <v>250</v>
      </c>
      <c r="D14" s="8">
        <f>C14*8.9/100</f>
        <v>22.25</v>
      </c>
      <c r="E14" s="8">
        <f>C14*4.9/100</f>
        <v>12.25</v>
      </c>
      <c r="F14" s="8">
        <f>C14*11.1/100</f>
        <v>27.75</v>
      </c>
      <c r="G14" s="8">
        <f t="shared" si="1"/>
        <v>310.25</v>
      </c>
      <c r="H14" s="8">
        <f>C14*0.08/100</f>
        <v>0.2</v>
      </c>
      <c r="I14" s="8">
        <f>C14*4.6/100</f>
        <v>11.5</v>
      </c>
      <c r="J14" s="8">
        <v>0</v>
      </c>
      <c r="K14" s="8">
        <f>C14*0.3/100</f>
        <v>0.75</v>
      </c>
      <c r="L14" s="8">
        <f>C14*16/100</f>
        <v>40</v>
      </c>
      <c r="M14" s="8">
        <f>C14*94/100</f>
        <v>235</v>
      </c>
      <c r="N14" s="8">
        <f>C14*22/100</f>
        <v>55</v>
      </c>
      <c r="O14" s="8">
        <f>C14*1.4/100</f>
        <v>3.5</v>
      </c>
      <c r="P14" s="5"/>
      <c r="Q14" s="5"/>
      <c r="R14" s="3"/>
      <c r="S14" s="2"/>
    </row>
    <row r="15" spans="1:19" x14ac:dyDescent="0.3">
      <c r="A15" s="4"/>
      <c r="B15" s="7" t="s">
        <v>20</v>
      </c>
      <c r="C15" s="4">
        <v>35</v>
      </c>
      <c r="D15" s="4">
        <v>1.88</v>
      </c>
      <c r="E15" s="8">
        <v>0.2</v>
      </c>
      <c r="F15" s="4">
        <v>12.13</v>
      </c>
      <c r="G15" s="8">
        <v>40.479999999999997</v>
      </c>
      <c r="H15" s="8">
        <v>0.03</v>
      </c>
      <c r="I15" s="9">
        <v>0</v>
      </c>
      <c r="J15" s="9">
        <v>0</v>
      </c>
      <c r="K15" s="4">
        <v>0.3</v>
      </c>
      <c r="L15" s="8">
        <v>5</v>
      </c>
      <c r="M15" s="8">
        <v>15.9</v>
      </c>
      <c r="N15" s="8">
        <v>3.43</v>
      </c>
      <c r="O15" s="4">
        <v>0.27</v>
      </c>
      <c r="P15" s="5"/>
      <c r="Q15" s="5"/>
      <c r="R15" s="3"/>
      <c r="S15" s="2"/>
    </row>
    <row r="16" spans="1:19" x14ac:dyDescent="0.3">
      <c r="A16" s="4"/>
      <c r="B16" s="7" t="s">
        <v>30</v>
      </c>
      <c r="C16" s="4">
        <v>30</v>
      </c>
      <c r="D16" s="4">
        <v>1.48</v>
      </c>
      <c r="E16" s="4">
        <v>0.24</v>
      </c>
      <c r="F16" s="4">
        <v>9.8000000000000007</v>
      </c>
      <c r="G16" s="4">
        <v>35.46</v>
      </c>
      <c r="H16" s="8">
        <v>0.03</v>
      </c>
      <c r="I16" s="9">
        <v>0</v>
      </c>
      <c r="J16" s="9">
        <v>0</v>
      </c>
      <c r="K16" s="4">
        <v>0.31</v>
      </c>
      <c r="L16" s="8">
        <v>7.87</v>
      </c>
      <c r="M16" s="8">
        <v>35.549999999999997</v>
      </c>
      <c r="N16" s="8">
        <v>10.6</v>
      </c>
      <c r="O16" s="4">
        <v>0.8</v>
      </c>
      <c r="P16" s="5"/>
      <c r="Q16" s="5"/>
      <c r="R16" s="3"/>
      <c r="S16" s="2"/>
    </row>
    <row r="17" spans="1:19" x14ac:dyDescent="0.3">
      <c r="A17" s="4" t="s">
        <v>51</v>
      </c>
      <c r="B17" s="7" t="s">
        <v>49</v>
      </c>
      <c r="C17" s="4">
        <v>200</v>
      </c>
      <c r="D17" s="8">
        <v>4.9000000000000004</v>
      </c>
      <c r="E17" s="8">
        <v>5</v>
      </c>
      <c r="F17" s="8">
        <v>32.5</v>
      </c>
      <c r="G17" s="8">
        <f>F17*4+E17*9+D17*4</f>
        <v>194.6</v>
      </c>
      <c r="H17" s="4">
        <v>0.06</v>
      </c>
      <c r="I17" s="4">
        <v>0.54</v>
      </c>
      <c r="J17" s="4">
        <v>0.04</v>
      </c>
      <c r="K17" s="8">
        <v>0.4</v>
      </c>
      <c r="L17" s="8">
        <v>172.2</v>
      </c>
      <c r="M17" s="8">
        <v>178.4</v>
      </c>
      <c r="N17" s="8">
        <v>24.8</v>
      </c>
      <c r="O17" s="8">
        <v>1</v>
      </c>
      <c r="P17" s="5"/>
      <c r="Q17" s="5"/>
      <c r="R17" s="3"/>
      <c r="S17" s="2"/>
    </row>
    <row r="18" spans="1:19" x14ac:dyDescent="0.3">
      <c r="A18" s="4"/>
      <c r="B18" s="7" t="s">
        <v>48</v>
      </c>
      <c r="C18" s="4">
        <v>100</v>
      </c>
      <c r="D18" s="8">
        <v>1.5</v>
      </c>
      <c r="E18" s="8">
        <v>0.5</v>
      </c>
      <c r="F18" s="8">
        <v>21</v>
      </c>
      <c r="G18" s="8">
        <f t="shared" ref="G18" si="2">F18*4+E18*9+D18*4</f>
        <v>94.5</v>
      </c>
      <c r="H18" s="4">
        <v>0.04</v>
      </c>
      <c r="I18" s="8">
        <v>10</v>
      </c>
      <c r="J18" s="9">
        <v>0</v>
      </c>
      <c r="K18" s="8">
        <v>0.4</v>
      </c>
      <c r="L18" s="8">
        <v>8</v>
      </c>
      <c r="M18" s="8">
        <v>28</v>
      </c>
      <c r="N18" s="8">
        <v>42</v>
      </c>
      <c r="O18" s="8">
        <v>0.6</v>
      </c>
      <c r="P18" s="5"/>
      <c r="Q18" s="5"/>
      <c r="R18" s="3"/>
      <c r="S18" s="2"/>
    </row>
    <row r="19" spans="1:19" x14ac:dyDescent="0.3">
      <c r="A19" s="100" t="s">
        <v>37</v>
      </c>
      <c r="B19" s="101"/>
      <c r="C19" s="4"/>
      <c r="D19" s="15">
        <f t="shared" ref="D19:O19" si="3">SUM(D12:D18)</f>
        <v>34.835000000000001</v>
      </c>
      <c r="E19" s="15">
        <f t="shared" si="3"/>
        <v>28.264999999999997</v>
      </c>
      <c r="F19" s="15">
        <f t="shared" si="3"/>
        <v>120.30500000000001</v>
      </c>
      <c r="G19" s="15">
        <f t="shared" si="3"/>
        <v>845.7650000000001</v>
      </c>
      <c r="H19" s="15">
        <f t="shared" si="3"/>
        <v>0.39</v>
      </c>
      <c r="I19" s="15">
        <f t="shared" si="3"/>
        <v>38.96</v>
      </c>
      <c r="J19" s="15">
        <f t="shared" si="3"/>
        <v>0.06</v>
      </c>
      <c r="K19" s="15">
        <f t="shared" si="3"/>
        <v>2.2599999999999998</v>
      </c>
      <c r="L19" s="15">
        <f t="shared" si="3"/>
        <v>287.78999999999996</v>
      </c>
      <c r="M19" s="15">
        <f t="shared" si="3"/>
        <v>632.25</v>
      </c>
      <c r="N19" s="15">
        <f t="shared" si="3"/>
        <v>164.01</v>
      </c>
      <c r="O19" s="15">
        <f t="shared" si="3"/>
        <v>7.38</v>
      </c>
      <c r="P19" s="5"/>
      <c r="Q19" s="5"/>
      <c r="R19" s="3"/>
      <c r="S19" s="2"/>
    </row>
    <row r="20" spans="1:19" x14ac:dyDescent="0.3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5"/>
      <c r="Q20" s="5"/>
      <c r="R20" s="3"/>
      <c r="S20" s="2"/>
    </row>
    <row r="21" spans="1:19" x14ac:dyDescent="0.3">
      <c r="A21" s="100" t="s">
        <v>35</v>
      </c>
      <c r="B21" s="101"/>
      <c r="C21" s="4"/>
      <c r="D21" s="15">
        <f>D10+D19</f>
        <v>43.835000000000001</v>
      </c>
      <c r="E21" s="15">
        <f t="shared" ref="E21:O21" si="4">E10+E19</f>
        <v>50.324999999999996</v>
      </c>
      <c r="F21" s="15">
        <f t="shared" si="4"/>
        <v>212.245</v>
      </c>
      <c r="G21" s="15">
        <f>G10+G19</f>
        <v>1443.3650000000002</v>
      </c>
      <c r="H21" s="15">
        <f t="shared" si="4"/>
        <v>0.45</v>
      </c>
      <c r="I21" s="15">
        <f t="shared" si="4"/>
        <v>42.96</v>
      </c>
      <c r="J21" s="14">
        <f t="shared" si="4"/>
        <v>10.66</v>
      </c>
      <c r="K21" s="15">
        <f t="shared" si="4"/>
        <v>4.9000000000000004</v>
      </c>
      <c r="L21" s="14">
        <f t="shared" si="4"/>
        <v>356.98999999999995</v>
      </c>
      <c r="M21" s="15">
        <f t="shared" si="4"/>
        <v>781.45</v>
      </c>
      <c r="N21" s="14">
        <f t="shared" si="4"/>
        <v>226.01</v>
      </c>
      <c r="O21" s="15">
        <f t="shared" si="4"/>
        <v>11.620000000000001</v>
      </c>
      <c r="P21" s="5"/>
      <c r="Q21" s="5"/>
      <c r="R21" s="3"/>
      <c r="S21" s="2"/>
    </row>
    <row r="22" spans="1:19" x14ac:dyDescent="0.3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ht="17.399999999999999" x14ac:dyDescent="0.35">
      <c r="A25" s="44"/>
      <c r="B25" s="44"/>
      <c r="C25" s="91"/>
      <c r="D25" s="91"/>
      <c r="E25" s="91"/>
      <c r="F25" s="91"/>
      <c r="G25" s="45"/>
      <c r="H25" s="46"/>
      <c r="I25" s="46"/>
      <c r="J25" s="86"/>
      <c r="K25" s="86"/>
      <c r="L25" s="86"/>
      <c r="M25" s="86"/>
      <c r="N25" s="86"/>
      <c r="O25" s="86"/>
      <c r="P25" s="5"/>
      <c r="Q25" s="5"/>
      <c r="R25" s="3"/>
      <c r="S25" s="2"/>
    </row>
    <row r="26" spans="1:19" ht="17.399999999999999" x14ac:dyDescent="0.35">
      <c r="A26" s="44"/>
      <c r="B26" s="44"/>
      <c r="C26" s="92"/>
      <c r="D26" s="92"/>
      <c r="E26" s="92"/>
      <c r="F26" s="92"/>
      <c r="G26" s="92"/>
      <c r="H26" s="46"/>
      <c r="I26" s="46"/>
      <c r="J26" s="86"/>
      <c r="K26" s="86"/>
      <c r="L26" s="86"/>
      <c r="M26" s="86"/>
      <c r="N26" s="86"/>
      <c r="O26" s="86"/>
      <c r="P26" s="5"/>
      <c r="Q26" s="5"/>
      <c r="R26" s="3"/>
      <c r="S26" s="2"/>
    </row>
    <row r="27" spans="1:19" x14ac:dyDescent="0.3">
      <c r="A27" s="39"/>
      <c r="B27" s="39"/>
      <c r="C27" s="38"/>
      <c r="D27" s="105"/>
      <c r="E27" s="105"/>
      <c r="F27" s="105"/>
      <c r="G27" s="38"/>
      <c r="H27" s="105"/>
      <c r="I27" s="105"/>
      <c r="J27" s="105"/>
      <c r="K27" s="105"/>
      <c r="L27" s="105"/>
      <c r="M27" s="105"/>
      <c r="N27" s="105"/>
      <c r="O27" s="10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37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2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54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2"/>
    </row>
    <row r="33" spans="1:14" ht="1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2"/>
    </row>
    <row r="34" spans="1: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2"/>
    </row>
    <row r="35" spans="1:14" x14ac:dyDescent="0.3">
      <c r="A35" s="5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2"/>
    </row>
    <row r="36" spans="1: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3"/>
      <c r="M41" s="2"/>
      <c r="N41" s="2"/>
    </row>
    <row r="42" spans="1: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5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"/>
    </row>
    <row r="49" spans="1:1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"/>
    </row>
    <row r="50" spans="1:1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3"/>
    </row>
    <row r="51" spans="1:11" x14ac:dyDescent="0.3">
      <c r="K51" s="2"/>
    </row>
    <row r="52" spans="1:11" x14ac:dyDescent="0.3">
      <c r="K52" s="2"/>
    </row>
    <row r="53" spans="1:11" x14ac:dyDescent="0.3">
      <c r="K53" s="2"/>
    </row>
    <row r="54" spans="1:11" x14ac:dyDescent="0.3">
      <c r="K54" s="2"/>
    </row>
  </sheetData>
  <mergeCells count="24">
    <mergeCell ref="D2:H2"/>
    <mergeCell ref="H27:K27"/>
    <mergeCell ref="L27:O27"/>
    <mergeCell ref="D27:F27"/>
    <mergeCell ref="C25:F25"/>
    <mergeCell ref="J25:O25"/>
    <mergeCell ref="C26:G26"/>
    <mergeCell ref="J26:O26"/>
    <mergeCell ref="A19:B19"/>
    <mergeCell ref="A20:O20"/>
    <mergeCell ref="A21:B21"/>
    <mergeCell ref="A11:O11"/>
    <mergeCell ref="J1:O1"/>
    <mergeCell ref="J2:O2"/>
    <mergeCell ref="L3:O3"/>
    <mergeCell ref="H3:K3"/>
    <mergeCell ref="A10:B10"/>
    <mergeCell ref="A3:A4"/>
    <mergeCell ref="B3:B4"/>
    <mergeCell ref="C3:C4"/>
    <mergeCell ref="D3:F3"/>
    <mergeCell ref="G3:G4"/>
    <mergeCell ref="A1:C1"/>
    <mergeCell ref="D1:H1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7.109375" customWidth="1"/>
    <col min="3" max="3" width="8" customWidth="1"/>
    <col min="4" max="4" width="7.6640625" customWidth="1"/>
    <col min="5" max="5" width="7" customWidth="1"/>
    <col min="7" max="7" width="9.109375" customWidth="1"/>
    <col min="8" max="9" width="5.6640625" customWidth="1"/>
    <col min="10" max="10" width="5.88671875" customWidth="1"/>
    <col min="11" max="11" width="6" customWidth="1"/>
    <col min="12" max="12" width="7.6640625" customWidth="1"/>
    <col min="13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108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112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ht="27.6" x14ac:dyDescent="0.3">
      <c r="A6" s="4" t="s">
        <v>78</v>
      </c>
      <c r="B6" s="19" t="s">
        <v>77</v>
      </c>
      <c r="C6" s="4">
        <v>200</v>
      </c>
      <c r="D6" s="8">
        <f>C6*3.1/100</f>
        <v>6.2</v>
      </c>
      <c r="E6" s="8">
        <f>C6*4.8/100</f>
        <v>9.6</v>
      </c>
      <c r="F6" s="8">
        <f>C6*13.3/100</f>
        <v>26.6</v>
      </c>
      <c r="G6" s="8">
        <f>F6*4+E6*9+D6*4</f>
        <v>217.60000000000002</v>
      </c>
      <c r="H6" s="21">
        <f>C6*0.07/100</f>
        <v>0.14000000000000001</v>
      </c>
      <c r="I6" s="25">
        <v>0</v>
      </c>
      <c r="J6" s="25">
        <v>0</v>
      </c>
      <c r="K6" s="21">
        <f>C6*1.1/100</f>
        <v>2.2000000000000002</v>
      </c>
      <c r="L6" s="21">
        <f>C6*19/100</f>
        <v>38</v>
      </c>
      <c r="M6" s="21">
        <f>C6*70/100</f>
        <v>140</v>
      </c>
      <c r="N6" s="21">
        <f>C6*29/100</f>
        <v>58</v>
      </c>
      <c r="O6" s="21">
        <f>C6*0.8/100</f>
        <v>1.6</v>
      </c>
      <c r="P6" s="5"/>
      <c r="Q6" s="5"/>
      <c r="R6" s="3"/>
      <c r="S6" s="2"/>
    </row>
    <row r="7" spans="1:19" x14ac:dyDescent="0.3">
      <c r="A7" s="70" t="s">
        <v>143</v>
      </c>
      <c r="B7" s="64" t="s">
        <v>144</v>
      </c>
      <c r="C7" s="70">
        <v>40</v>
      </c>
      <c r="D7" s="70">
        <v>5</v>
      </c>
      <c r="E7" s="70">
        <v>4.5999999999999996</v>
      </c>
      <c r="F7" s="70">
        <v>0.3</v>
      </c>
      <c r="G7" s="70">
        <v>62.8</v>
      </c>
      <c r="H7" s="77">
        <v>0.03</v>
      </c>
      <c r="I7" s="63">
        <v>0</v>
      </c>
      <c r="J7" s="63">
        <v>0.1</v>
      </c>
      <c r="K7" s="63">
        <v>0.18</v>
      </c>
      <c r="L7" s="63">
        <v>91.6</v>
      </c>
      <c r="M7" s="63">
        <v>118.98</v>
      </c>
      <c r="N7" s="63">
        <v>17.37</v>
      </c>
      <c r="O7" s="4">
        <v>0.68</v>
      </c>
      <c r="P7" s="5"/>
      <c r="Q7" s="5"/>
      <c r="R7" s="3"/>
      <c r="S7" s="2"/>
    </row>
    <row r="8" spans="1:19" x14ac:dyDescent="0.3">
      <c r="A8" s="4"/>
      <c r="B8" s="7" t="s">
        <v>20</v>
      </c>
      <c r="C8" s="68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ht="27.6" x14ac:dyDescent="0.3">
      <c r="A9" s="4"/>
      <c r="B9" s="64" t="s">
        <v>136</v>
      </c>
      <c r="C9" s="61">
        <v>200</v>
      </c>
      <c r="D9" s="8">
        <v>5</v>
      </c>
      <c r="E9" s="8">
        <v>5.6</v>
      </c>
      <c r="F9" s="8">
        <v>29.8</v>
      </c>
      <c r="G9" s="8">
        <v>186</v>
      </c>
      <c r="H9" s="8">
        <v>0.06</v>
      </c>
      <c r="I9" s="8">
        <v>1.2</v>
      </c>
      <c r="J9" s="8">
        <v>0.02</v>
      </c>
      <c r="K9" s="9">
        <v>0</v>
      </c>
      <c r="L9" s="4">
        <v>248</v>
      </c>
      <c r="M9" s="8">
        <v>91</v>
      </c>
      <c r="N9" s="8">
        <v>30</v>
      </c>
      <c r="O9" s="8">
        <v>0.1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0">SUM(D6:D9)</f>
        <v>19.239999999999998</v>
      </c>
      <c r="E10" s="14">
        <f t="shared" si="0"/>
        <v>20.159999999999997</v>
      </c>
      <c r="F10" s="15">
        <f t="shared" si="0"/>
        <v>76.58</v>
      </c>
      <c r="G10" s="15">
        <f t="shared" si="0"/>
        <v>556.80000000000007</v>
      </c>
      <c r="H10" s="14">
        <f t="shared" si="0"/>
        <v>0.23</v>
      </c>
      <c r="I10" s="14">
        <f t="shared" si="0"/>
        <v>1.2</v>
      </c>
      <c r="J10" s="18">
        <f t="shared" si="0"/>
        <v>10.52</v>
      </c>
      <c r="K10" s="14">
        <f t="shared" si="0"/>
        <v>2.8200000000000003</v>
      </c>
      <c r="L10" s="14">
        <f t="shared" si="0"/>
        <v>410.8</v>
      </c>
      <c r="M10" s="14">
        <f t="shared" si="0"/>
        <v>383.18</v>
      </c>
      <c r="N10" s="14">
        <f t="shared" si="0"/>
        <v>119.37</v>
      </c>
      <c r="O10" s="14">
        <f t="shared" si="0"/>
        <v>3.0200000000000005</v>
      </c>
      <c r="P10" s="5"/>
      <c r="Q10" s="5"/>
      <c r="R10" s="3" t="s">
        <v>21</v>
      </c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ht="27.6" x14ac:dyDescent="0.3">
      <c r="A12" s="4" t="s">
        <v>86</v>
      </c>
      <c r="B12" s="19" t="s">
        <v>85</v>
      </c>
      <c r="C12" s="4">
        <v>100</v>
      </c>
      <c r="D12" s="8">
        <f>C12*5.1/100</f>
        <v>5.0999999999999996</v>
      </c>
      <c r="E12" s="8">
        <f>C12*7.8/100</f>
        <v>7.8</v>
      </c>
      <c r="F12" s="8">
        <f>C12*7.1/100</f>
        <v>7.1</v>
      </c>
      <c r="G12" s="9">
        <f t="shared" ref="G12:G19" si="1">F12*4+E12*9+D12*4</f>
        <v>119</v>
      </c>
      <c r="H12" s="4">
        <v>0.03</v>
      </c>
      <c r="I12" s="8">
        <v>6.6</v>
      </c>
      <c r="J12" s="8">
        <v>0.04</v>
      </c>
      <c r="K12" s="8">
        <v>4.5999999999999996</v>
      </c>
      <c r="L12" s="8">
        <v>187</v>
      </c>
      <c r="M12" s="8">
        <v>154</v>
      </c>
      <c r="N12" s="8">
        <v>28</v>
      </c>
      <c r="O12" s="8">
        <v>1.5</v>
      </c>
      <c r="P12" s="5"/>
      <c r="Q12" s="5"/>
      <c r="R12" s="3"/>
      <c r="S12" s="2"/>
    </row>
    <row r="13" spans="1:19" ht="27.6" x14ac:dyDescent="0.3">
      <c r="A13" s="4" t="s">
        <v>80</v>
      </c>
      <c r="B13" s="19" t="s">
        <v>79</v>
      </c>
      <c r="C13" s="4">
        <v>250</v>
      </c>
      <c r="D13" s="8">
        <v>2.9</v>
      </c>
      <c r="E13" s="8">
        <v>2.5</v>
      </c>
      <c r="F13" s="8">
        <v>21</v>
      </c>
      <c r="G13" s="8">
        <f t="shared" si="1"/>
        <v>118.1</v>
      </c>
      <c r="H13" s="9">
        <v>0</v>
      </c>
      <c r="I13" s="8">
        <f>C13*0.74/100</f>
        <v>1.85</v>
      </c>
      <c r="J13" s="4">
        <f>C13*0.46/100</f>
        <v>1.1499999999999999</v>
      </c>
      <c r="K13" s="8">
        <f>C13*0.04/100</f>
        <v>0.1</v>
      </c>
      <c r="L13" s="8">
        <f>C13*33/100</f>
        <v>82.5</v>
      </c>
      <c r="M13" s="8">
        <f>C13*5.65/100</f>
        <v>14.125</v>
      </c>
      <c r="N13" s="8">
        <f>C13*2.86/100</f>
        <v>7.15</v>
      </c>
      <c r="O13" s="8">
        <f>C13*0.31/100</f>
        <v>0.77500000000000002</v>
      </c>
      <c r="P13" s="5"/>
      <c r="Q13" s="5"/>
      <c r="R13" s="3"/>
      <c r="S13" s="2"/>
    </row>
    <row r="14" spans="1:19" x14ac:dyDescent="0.3">
      <c r="A14" s="4" t="s">
        <v>94</v>
      </c>
      <c r="B14" s="19" t="s">
        <v>92</v>
      </c>
      <c r="C14" s="4">
        <v>200</v>
      </c>
      <c r="D14" s="8">
        <f>C14*2/100</f>
        <v>4</v>
      </c>
      <c r="E14" s="8">
        <f>C14*3.3/100</f>
        <v>6.6</v>
      </c>
      <c r="F14" s="8">
        <f>C14*9.2/100</f>
        <v>18.399999999999999</v>
      </c>
      <c r="G14" s="8">
        <f t="shared" si="1"/>
        <v>149</v>
      </c>
      <c r="H14" s="4">
        <f>C14*0.03/100</f>
        <v>0.06</v>
      </c>
      <c r="I14" s="8">
        <f>C14*17/100</f>
        <v>34</v>
      </c>
      <c r="J14" s="9">
        <v>0</v>
      </c>
      <c r="K14" s="8">
        <f>C14*1/100</f>
        <v>2</v>
      </c>
      <c r="L14" s="8">
        <f>C14*58/100</f>
        <v>116</v>
      </c>
      <c r="M14" s="8">
        <f>C14*40/100</f>
        <v>80</v>
      </c>
      <c r="N14" s="8">
        <f>C14*20/100</f>
        <v>40</v>
      </c>
      <c r="O14" s="8">
        <f>C14*0.8/100</f>
        <v>1.6</v>
      </c>
      <c r="P14" s="5"/>
      <c r="Q14" s="5"/>
      <c r="R14" s="3"/>
      <c r="S14" s="2"/>
    </row>
    <row r="15" spans="1:19" x14ac:dyDescent="0.3">
      <c r="A15" s="4" t="s">
        <v>106</v>
      </c>
      <c r="B15" s="7" t="s">
        <v>105</v>
      </c>
      <c r="C15" s="4">
        <v>100</v>
      </c>
      <c r="D15" s="4">
        <f>C15*18.08/80</f>
        <v>22.599999999999998</v>
      </c>
      <c r="E15" s="8">
        <f>C15*13.6/80</f>
        <v>17</v>
      </c>
      <c r="F15" s="9">
        <v>0</v>
      </c>
      <c r="G15" s="8">
        <f t="shared" si="1"/>
        <v>243.39999999999998</v>
      </c>
      <c r="H15" s="21">
        <f>C15*0.04/100</f>
        <v>0.04</v>
      </c>
      <c r="I15" s="21">
        <v>0</v>
      </c>
      <c r="J15" s="21">
        <f>C15*0.02/100</f>
        <v>0.02</v>
      </c>
      <c r="K15" s="21">
        <f>C15*0.3/100</f>
        <v>0.3</v>
      </c>
      <c r="L15" s="21">
        <f>C15*39/100</f>
        <v>39</v>
      </c>
      <c r="M15" s="21">
        <f>C15*143/100</f>
        <v>143</v>
      </c>
      <c r="N15" s="21">
        <f>C15*20/100</f>
        <v>20</v>
      </c>
      <c r="O15" s="21">
        <f>C15*1.8/100</f>
        <v>1.8</v>
      </c>
      <c r="P15" s="5"/>
      <c r="Q15" s="5"/>
      <c r="R15" s="3"/>
      <c r="S15" s="2"/>
    </row>
    <row r="16" spans="1:19" x14ac:dyDescent="0.3">
      <c r="A16" s="4"/>
      <c r="B16" s="7" t="s">
        <v>20</v>
      </c>
      <c r="C16" s="4">
        <v>35</v>
      </c>
      <c r="D16" s="4">
        <v>1.88</v>
      </c>
      <c r="E16" s="8">
        <v>0.2</v>
      </c>
      <c r="F16" s="4">
        <v>12.13</v>
      </c>
      <c r="G16" s="8">
        <v>40.479999999999997</v>
      </c>
      <c r="H16" s="8">
        <v>0.03</v>
      </c>
      <c r="I16" s="9">
        <v>0</v>
      </c>
      <c r="J16" s="9">
        <v>0</v>
      </c>
      <c r="K16" s="4">
        <v>0.3</v>
      </c>
      <c r="L16" s="8">
        <v>5</v>
      </c>
      <c r="M16" s="8">
        <v>15.9</v>
      </c>
      <c r="N16" s="8">
        <v>3.43</v>
      </c>
      <c r="O16" s="4">
        <v>0.27</v>
      </c>
      <c r="P16" s="5"/>
      <c r="Q16" s="5"/>
      <c r="R16" s="3"/>
      <c r="S16" s="2"/>
    </row>
    <row r="17" spans="1:19" x14ac:dyDescent="0.3">
      <c r="A17" s="4"/>
      <c r="B17" s="7" t="s">
        <v>30</v>
      </c>
      <c r="C17" s="4">
        <v>30</v>
      </c>
      <c r="D17" s="4">
        <v>1.48</v>
      </c>
      <c r="E17" s="4">
        <v>0.24</v>
      </c>
      <c r="F17" s="4">
        <v>9.8000000000000007</v>
      </c>
      <c r="G17" s="4">
        <v>35.46</v>
      </c>
      <c r="H17" s="8">
        <v>0.03</v>
      </c>
      <c r="I17" s="9">
        <v>0</v>
      </c>
      <c r="J17" s="9">
        <v>0</v>
      </c>
      <c r="K17" s="4">
        <v>0.31</v>
      </c>
      <c r="L17" s="8">
        <v>7.87</v>
      </c>
      <c r="M17" s="8">
        <v>35.549999999999997</v>
      </c>
      <c r="N17" s="8">
        <v>10.6</v>
      </c>
      <c r="O17" s="4">
        <v>0.8</v>
      </c>
      <c r="P17" s="5"/>
      <c r="Q17" s="5"/>
      <c r="R17" s="3"/>
      <c r="S17" s="2"/>
    </row>
    <row r="18" spans="1:19" x14ac:dyDescent="0.3">
      <c r="A18" s="4" t="s">
        <v>47</v>
      </c>
      <c r="B18" s="28" t="s">
        <v>46</v>
      </c>
      <c r="C18" s="20">
        <v>200</v>
      </c>
      <c r="D18" s="21">
        <v>0.3</v>
      </c>
      <c r="E18" s="25">
        <v>0</v>
      </c>
      <c r="F18" s="21">
        <v>15.2</v>
      </c>
      <c r="G18" s="21">
        <f t="shared" si="1"/>
        <v>62</v>
      </c>
      <c r="H18" s="25">
        <v>0</v>
      </c>
      <c r="I18" s="21">
        <v>2.2000000000000002</v>
      </c>
      <c r="J18" s="25">
        <v>0</v>
      </c>
      <c r="K18" s="25">
        <v>0</v>
      </c>
      <c r="L18" s="21">
        <v>16</v>
      </c>
      <c r="M18" s="21">
        <v>8</v>
      </c>
      <c r="N18" s="21">
        <v>6</v>
      </c>
      <c r="O18" s="21">
        <v>0.8</v>
      </c>
      <c r="P18" s="5"/>
      <c r="Q18" s="5"/>
      <c r="R18" s="3"/>
      <c r="S18" s="2"/>
    </row>
    <row r="19" spans="1:19" x14ac:dyDescent="0.3">
      <c r="A19" s="4"/>
      <c r="B19" s="7" t="s">
        <v>32</v>
      </c>
      <c r="C19" s="4">
        <v>100</v>
      </c>
      <c r="D19" s="8">
        <v>0.4</v>
      </c>
      <c r="E19" s="8">
        <v>0.4</v>
      </c>
      <c r="F19" s="8">
        <v>9.8000000000000007</v>
      </c>
      <c r="G19" s="8">
        <f t="shared" si="1"/>
        <v>44.400000000000006</v>
      </c>
      <c r="H19" s="4">
        <v>0.03</v>
      </c>
      <c r="I19" s="8">
        <v>10</v>
      </c>
      <c r="J19" s="9">
        <v>0</v>
      </c>
      <c r="K19" s="8">
        <v>0.2</v>
      </c>
      <c r="L19" s="8">
        <v>16</v>
      </c>
      <c r="M19" s="8">
        <v>11</v>
      </c>
      <c r="N19" s="8">
        <v>9</v>
      </c>
      <c r="O19" s="8">
        <v>2.2000000000000002</v>
      </c>
      <c r="P19" s="5"/>
      <c r="Q19" s="5"/>
      <c r="R19" s="3"/>
      <c r="S19" s="2"/>
    </row>
    <row r="20" spans="1:19" x14ac:dyDescent="0.3">
      <c r="A20" s="100" t="s">
        <v>37</v>
      </c>
      <c r="B20" s="101"/>
      <c r="C20" s="4"/>
      <c r="D20" s="14">
        <f t="shared" ref="D20:O20" si="2">SUM(D12:D19)</f>
        <v>38.659999999999989</v>
      </c>
      <c r="E20" s="14">
        <f t="shared" si="2"/>
        <v>34.74</v>
      </c>
      <c r="F20" s="14">
        <f t="shared" si="2"/>
        <v>93.43</v>
      </c>
      <c r="G20" s="14">
        <f t="shared" si="2"/>
        <v>811.84</v>
      </c>
      <c r="H20" s="15">
        <f t="shared" si="2"/>
        <v>0.22</v>
      </c>
      <c r="I20" s="15">
        <f t="shared" si="2"/>
        <v>54.650000000000006</v>
      </c>
      <c r="J20" s="15">
        <f t="shared" si="2"/>
        <v>1.21</v>
      </c>
      <c r="K20" s="15">
        <f t="shared" si="2"/>
        <v>7.8099999999999987</v>
      </c>
      <c r="L20" s="15">
        <f t="shared" si="2"/>
        <v>469.37</v>
      </c>
      <c r="M20" s="15">
        <f t="shared" si="2"/>
        <v>461.57499999999999</v>
      </c>
      <c r="N20" s="15">
        <f t="shared" si="2"/>
        <v>124.18</v>
      </c>
      <c r="O20" s="15">
        <f t="shared" si="2"/>
        <v>9.745000000000001</v>
      </c>
      <c r="P20" s="5"/>
      <c r="Q20" s="5"/>
      <c r="R20" s="3"/>
      <c r="S20" s="2"/>
    </row>
    <row r="21" spans="1:19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5"/>
      <c r="Q21" s="5"/>
      <c r="R21" s="3"/>
      <c r="S21" s="2"/>
    </row>
    <row r="22" spans="1:19" x14ac:dyDescent="0.3">
      <c r="A22" s="100" t="s">
        <v>35</v>
      </c>
      <c r="B22" s="101"/>
      <c r="C22" s="4"/>
      <c r="D22" s="15">
        <f>D10+D20</f>
        <v>57.899999999999991</v>
      </c>
      <c r="E22" s="14">
        <f t="shared" ref="E22:O22" si="3">E10+E20</f>
        <v>54.9</v>
      </c>
      <c r="F22" s="15">
        <f t="shared" si="3"/>
        <v>170.01</v>
      </c>
      <c r="G22" s="15">
        <f>G10+G20</f>
        <v>1368.64</v>
      </c>
      <c r="H22" s="15">
        <f t="shared" si="3"/>
        <v>0.45</v>
      </c>
      <c r="I22" s="15">
        <f t="shared" si="3"/>
        <v>55.850000000000009</v>
      </c>
      <c r="J22" s="15">
        <f t="shared" si="3"/>
        <v>11.73</v>
      </c>
      <c r="K22" s="15">
        <f t="shared" si="3"/>
        <v>10.629999999999999</v>
      </c>
      <c r="L22" s="14">
        <f t="shared" si="3"/>
        <v>880.17000000000007</v>
      </c>
      <c r="M22" s="15">
        <f t="shared" si="3"/>
        <v>844.755</v>
      </c>
      <c r="N22" s="14">
        <f t="shared" si="3"/>
        <v>243.55</v>
      </c>
      <c r="O22" s="15">
        <f t="shared" si="3"/>
        <v>12.765000000000001</v>
      </c>
      <c r="P22" s="5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37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7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37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7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37"/>
    </row>
    <row r="33" spans="1: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37"/>
    </row>
    <row r="34" spans="1: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7"/>
    </row>
    <row r="35" spans="1:14" x14ac:dyDescent="0.3">
      <c r="A35" s="5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37"/>
    </row>
    <row r="36" spans="1: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2"/>
    </row>
    <row r="46" spans="1:14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5"/>
      <c r="L46" s="5"/>
      <c r="M46" s="3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3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"/>
      <c r="L48" s="5"/>
      <c r="M48" s="3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"/>
      <c r="L49" s="5"/>
      <c r="M49" s="3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2"/>
      <c r="L50" s="22"/>
      <c r="M50" s="2"/>
      <c r="N50" s="2"/>
    </row>
    <row r="51" spans="1:14" x14ac:dyDescent="0.3">
      <c r="K51" s="2"/>
    </row>
    <row r="52" spans="1:14" x14ac:dyDescent="0.3">
      <c r="K52" s="2"/>
    </row>
    <row r="53" spans="1:14" x14ac:dyDescent="0.3">
      <c r="K53" s="2"/>
    </row>
    <row r="54" spans="1:14" x14ac:dyDescent="0.3">
      <c r="K54" s="2"/>
    </row>
  </sheetData>
  <mergeCells count="17">
    <mergeCell ref="A21:O21"/>
    <mergeCell ref="A22:B22"/>
    <mergeCell ref="A10:B10"/>
    <mergeCell ref="A11:O11"/>
    <mergeCell ref="A20:B20"/>
    <mergeCell ref="J1:O1"/>
    <mergeCell ref="J2:O2"/>
    <mergeCell ref="L3:O3"/>
    <mergeCell ref="C3:C4"/>
    <mergeCell ref="D3:F3"/>
    <mergeCell ref="G3:G4"/>
    <mergeCell ref="H3:K3"/>
    <mergeCell ref="A1:C1"/>
    <mergeCell ref="D1:H1"/>
    <mergeCell ref="D2:H2"/>
    <mergeCell ref="A3:A4"/>
    <mergeCell ref="B3:B4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7.109375" customWidth="1"/>
    <col min="3" max="3" width="8" customWidth="1"/>
    <col min="4" max="4" width="7.6640625" customWidth="1"/>
    <col min="5" max="5" width="7" customWidth="1"/>
    <col min="7" max="7" width="7.44140625" customWidth="1"/>
    <col min="8" max="8" width="5.6640625" customWidth="1"/>
    <col min="9" max="9" width="6.88671875" customWidth="1"/>
    <col min="10" max="10" width="5.88671875" customWidth="1"/>
    <col min="11" max="11" width="6" customWidth="1"/>
    <col min="12" max="12" width="8" customWidth="1"/>
    <col min="13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113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168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x14ac:dyDescent="0.3">
      <c r="A6" s="4" t="s">
        <v>122</v>
      </c>
      <c r="B6" s="28" t="s">
        <v>121</v>
      </c>
      <c r="C6" s="4">
        <v>250</v>
      </c>
      <c r="D6" s="8">
        <f>C6*0.9/100</f>
        <v>2.25</v>
      </c>
      <c r="E6" s="9">
        <v>0</v>
      </c>
      <c r="F6" s="8">
        <f>C6*47.4/100</f>
        <v>118.5</v>
      </c>
      <c r="G6" s="8">
        <f>F6*4+E6*9+D6*4</f>
        <v>483</v>
      </c>
      <c r="H6" s="21">
        <f>C6*0.05/100</f>
        <v>0.125</v>
      </c>
      <c r="I6" s="21">
        <f>C6*0.46/100</f>
        <v>1.1499999999999999</v>
      </c>
      <c r="J6" s="21">
        <f>C6*0.01/100</f>
        <v>2.5000000000000001E-2</v>
      </c>
      <c r="K6" s="21">
        <f>C6*0.04/100</f>
        <v>0.1</v>
      </c>
      <c r="L6" s="20">
        <f>C6*62.52/100</f>
        <v>156.30000000000001</v>
      </c>
      <c r="M6" s="21">
        <f>C6*73.2/100</f>
        <v>183</v>
      </c>
      <c r="N6" s="21">
        <f>C6*17.73/100</f>
        <v>44.325000000000003</v>
      </c>
      <c r="O6" s="21">
        <f>C6*0.39/100</f>
        <v>0.97499999999999998</v>
      </c>
      <c r="P6" s="5"/>
      <c r="Q6" s="5"/>
      <c r="R6" s="3"/>
      <c r="S6" s="2"/>
    </row>
    <row r="7" spans="1:19" x14ac:dyDescent="0.3">
      <c r="A7" s="4" t="s">
        <v>131</v>
      </c>
      <c r="B7" s="62" t="s">
        <v>132</v>
      </c>
      <c r="C7" s="60">
        <v>20</v>
      </c>
      <c r="D7" s="63">
        <v>4.6399999999999997</v>
      </c>
      <c r="E7" s="63">
        <v>5.92</v>
      </c>
      <c r="F7" s="63" t="s">
        <v>133</v>
      </c>
      <c r="G7" s="63">
        <v>72</v>
      </c>
      <c r="H7" s="63">
        <v>0</v>
      </c>
      <c r="I7" s="63">
        <v>0.32</v>
      </c>
      <c r="J7" s="63">
        <v>0.05</v>
      </c>
      <c r="K7" s="63">
        <v>0</v>
      </c>
      <c r="L7" s="63">
        <v>200</v>
      </c>
      <c r="M7" s="63">
        <v>108.8</v>
      </c>
      <c r="N7" s="63">
        <v>9.4</v>
      </c>
      <c r="O7" s="61">
        <v>0.12</v>
      </c>
      <c r="P7" s="5"/>
      <c r="Q7" s="5"/>
      <c r="R7" s="3"/>
      <c r="S7" s="2"/>
    </row>
    <row r="8" spans="1:19" x14ac:dyDescent="0.3">
      <c r="A8" s="4"/>
      <c r="B8" s="7" t="s">
        <v>20</v>
      </c>
      <c r="C8" s="60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ht="27.6" x14ac:dyDescent="0.3">
      <c r="A9" s="4"/>
      <c r="B9" s="64" t="s">
        <v>136</v>
      </c>
      <c r="C9" s="61">
        <v>200</v>
      </c>
      <c r="D9" s="8">
        <v>5</v>
      </c>
      <c r="E9" s="8">
        <v>5.6</v>
      </c>
      <c r="F9" s="8">
        <v>29.8</v>
      </c>
      <c r="G9" s="8">
        <v>186</v>
      </c>
      <c r="H9" s="8">
        <v>0.06</v>
      </c>
      <c r="I9" s="8">
        <v>1.2</v>
      </c>
      <c r="J9" s="8">
        <v>0.02</v>
      </c>
      <c r="K9" s="9">
        <v>0</v>
      </c>
      <c r="L9" s="4">
        <v>248</v>
      </c>
      <c r="M9" s="8">
        <v>91</v>
      </c>
      <c r="N9" s="8">
        <v>30</v>
      </c>
      <c r="O9" s="8">
        <v>0.1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0">SUM(D6:D9)</f>
        <v>14.93</v>
      </c>
      <c r="E10" s="14">
        <f t="shared" si="0"/>
        <v>11.879999999999999</v>
      </c>
      <c r="F10" s="15">
        <f t="shared" si="0"/>
        <v>168.18</v>
      </c>
      <c r="G10" s="14">
        <f t="shared" si="0"/>
        <v>831.4</v>
      </c>
      <c r="H10" s="15">
        <f t="shared" si="0"/>
        <v>0.185</v>
      </c>
      <c r="I10" s="14">
        <f t="shared" si="0"/>
        <v>2.67</v>
      </c>
      <c r="J10" s="15">
        <f t="shared" si="0"/>
        <v>10.494999999999999</v>
      </c>
      <c r="K10" s="15">
        <f t="shared" si="0"/>
        <v>0.54</v>
      </c>
      <c r="L10" s="14">
        <f t="shared" si="0"/>
        <v>637.5</v>
      </c>
      <c r="M10" s="15">
        <f t="shared" si="0"/>
        <v>416</v>
      </c>
      <c r="N10" s="15">
        <f t="shared" si="0"/>
        <v>97.724999999999994</v>
      </c>
      <c r="O10" s="15">
        <f t="shared" si="0"/>
        <v>1.835</v>
      </c>
      <c r="P10" s="5"/>
      <c r="Q10" s="5"/>
      <c r="R10" s="3" t="s">
        <v>21</v>
      </c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ht="27.6" x14ac:dyDescent="0.3">
      <c r="A12" s="4" t="s">
        <v>99</v>
      </c>
      <c r="B12" s="19" t="s">
        <v>98</v>
      </c>
      <c r="C12" s="4">
        <v>100</v>
      </c>
      <c r="D12" s="8">
        <f>C12*5.6/100</f>
        <v>5.6</v>
      </c>
      <c r="E12" s="8">
        <v>9.1</v>
      </c>
      <c r="F12" s="8">
        <f>C12*5.1/100</f>
        <v>5.0999999999999996</v>
      </c>
      <c r="G12" s="8">
        <f>F12*4+E12*9+D12*4</f>
        <v>124.69999999999999</v>
      </c>
      <c r="H12" s="20">
        <f>C12*0.06/100</f>
        <v>0.06</v>
      </c>
      <c r="I12" s="21">
        <f>C12*4.3/100</f>
        <v>4.3</v>
      </c>
      <c r="J12" s="21">
        <f>C12*0.02/100</f>
        <v>0.02</v>
      </c>
      <c r="K12" s="21">
        <f>C12*0.4/100</f>
        <v>0.4</v>
      </c>
      <c r="L12" s="21">
        <f>C12*32/100</f>
        <v>32</v>
      </c>
      <c r="M12" s="21">
        <f>C12*53/100</f>
        <v>53</v>
      </c>
      <c r="N12" s="21">
        <f>C12*34/100</f>
        <v>34</v>
      </c>
      <c r="O12" s="21">
        <f>C12*0.6/100</f>
        <v>0.6</v>
      </c>
      <c r="P12" s="5"/>
      <c r="Q12" s="5"/>
      <c r="R12" s="3"/>
      <c r="S12" s="2"/>
    </row>
    <row r="13" spans="1:19" ht="27.6" x14ac:dyDescent="0.3">
      <c r="A13" s="4" t="s">
        <v>97</v>
      </c>
      <c r="B13" s="31" t="s">
        <v>96</v>
      </c>
      <c r="C13" s="4">
        <v>250</v>
      </c>
      <c r="D13" s="8">
        <v>2</v>
      </c>
      <c r="E13" s="8">
        <v>2.4</v>
      </c>
      <c r="F13" s="8">
        <v>14.8</v>
      </c>
      <c r="G13" s="8">
        <f>F13*4+E13*9+D13*4</f>
        <v>88.8</v>
      </c>
      <c r="H13" s="21">
        <f>C13*0.04/100</f>
        <v>0.1</v>
      </c>
      <c r="I13" s="21">
        <f>C13*8.01/100</f>
        <v>20.024999999999999</v>
      </c>
      <c r="J13" s="21">
        <f>C13*0.32/100</f>
        <v>0.8</v>
      </c>
      <c r="K13" s="21">
        <f>C13*0.36/100</f>
        <v>0.9</v>
      </c>
      <c r="L13" s="21">
        <f>C13*26.46/100</f>
        <v>66.150000000000006</v>
      </c>
      <c r="M13" s="21">
        <f>C13*25.64/100</f>
        <v>64.099999999999994</v>
      </c>
      <c r="N13" s="21">
        <f>C13*10.6/100</f>
        <v>26.5</v>
      </c>
      <c r="O13" s="21">
        <f>C13*0.55/100</f>
        <v>1.375</v>
      </c>
      <c r="P13" s="5"/>
      <c r="Q13" s="5"/>
      <c r="R13" s="3"/>
      <c r="S13" s="2"/>
    </row>
    <row r="14" spans="1:19" x14ac:dyDescent="0.3">
      <c r="A14" s="4" t="s">
        <v>104</v>
      </c>
      <c r="B14" s="19" t="s">
        <v>114</v>
      </c>
      <c r="C14" s="4">
        <v>200</v>
      </c>
      <c r="D14" s="8">
        <f>C14*2.85/100</f>
        <v>5.7</v>
      </c>
      <c r="E14" s="8">
        <f>C14*3.24/100</f>
        <v>6.48</v>
      </c>
      <c r="F14" s="8">
        <f>C14*16.3/100</f>
        <v>32.6</v>
      </c>
      <c r="G14" s="8">
        <f>F14*4+E14*9+D14*4</f>
        <v>211.52000000000004</v>
      </c>
      <c r="H14" s="21">
        <f>C14*0.08/100</f>
        <v>0.16</v>
      </c>
      <c r="I14" s="25">
        <v>0</v>
      </c>
      <c r="J14" s="25">
        <v>0</v>
      </c>
      <c r="K14" s="21">
        <f>C14*0.8/100</f>
        <v>1.6</v>
      </c>
      <c r="L14" s="21">
        <f>C14*14/100</f>
        <v>28</v>
      </c>
      <c r="M14" s="21">
        <f>C14*56/100</f>
        <v>112</v>
      </c>
      <c r="N14" s="21">
        <f>C14*21/100</f>
        <v>42</v>
      </c>
      <c r="O14" s="21">
        <f>C14*0.7/100</f>
        <v>1.4</v>
      </c>
      <c r="P14" s="5"/>
      <c r="Q14" s="5"/>
      <c r="R14" s="3"/>
      <c r="S14" s="37"/>
    </row>
    <row r="15" spans="1:19" ht="27.6" x14ac:dyDescent="0.3">
      <c r="A15" s="4" t="s">
        <v>101</v>
      </c>
      <c r="B15" s="19" t="s">
        <v>100</v>
      </c>
      <c r="C15" s="4">
        <v>100</v>
      </c>
      <c r="D15" s="8">
        <f>C15*24.8/100</f>
        <v>24.8</v>
      </c>
      <c r="E15" s="8">
        <f>C15*16.6/100</f>
        <v>16.600000000000001</v>
      </c>
      <c r="F15" s="8">
        <f>C15*6.1/100</f>
        <v>6.1</v>
      </c>
      <c r="G15" s="8">
        <f>F15*4+E15*9+D15*4</f>
        <v>273</v>
      </c>
      <c r="H15" s="21">
        <f>C15*0.03/100</f>
        <v>0.03</v>
      </c>
      <c r="I15" s="25">
        <v>0</v>
      </c>
      <c r="J15" s="25">
        <f>C15*0/100</f>
        <v>0</v>
      </c>
      <c r="K15" s="21">
        <f>C15*9.2/100</f>
        <v>9.1999999999999993</v>
      </c>
      <c r="L15" s="21">
        <f>C15*36/100</f>
        <v>36</v>
      </c>
      <c r="M15" s="21">
        <f>C15*224/100</f>
        <v>224</v>
      </c>
      <c r="N15" s="21">
        <f>C15*40/100</f>
        <v>40</v>
      </c>
      <c r="O15" s="21">
        <f>C15*1.6/100</f>
        <v>1.6</v>
      </c>
      <c r="P15" s="5"/>
      <c r="Q15" s="5"/>
      <c r="R15" s="3"/>
      <c r="S15" s="2"/>
    </row>
    <row r="16" spans="1:19" x14ac:dyDescent="0.3">
      <c r="A16" s="4"/>
      <c r="B16" s="7" t="s">
        <v>20</v>
      </c>
      <c r="C16" s="4">
        <v>35</v>
      </c>
      <c r="D16" s="4">
        <v>1.88</v>
      </c>
      <c r="E16" s="8">
        <v>0.2</v>
      </c>
      <c r="F16" s="4">
        <v>12.13</v>
      </c>
      <c r="G16" s="8">
        <v>40.479999999999997</v>
      </c>
      <c r="H16" s="8">
        <v>0.03</v>
      </c>
      <c r="I16" s="9">
        <v>0</v>
      </c>
      <c r="J16" s="9">
        <v>0</v>
      </c>
      <c r="K16" s="4">
        <v>0.3</v>
      </c>
      <c r="L16" s="8">
        <v>5</v>
      </c>
      <c r="M16" s="8">
        <v>15.9</v>
      </c>
      <c r="N16" s="8">
        <v>3.43</v>
      </c>
      <c r="O16" s="4">
        <v>0.27</v>
      </c>
      <c r="P16" s="5"/>
      <c r="Q16" s="5"/>
      <c r="R16" s="3"/>
      <c r="S16" s="37"/>
    </row>
    <row r="17" spans="1:19" x14ac:dyDescent="0.3">
      <c r="A17" s="4"/>
      <c r="B17" s="7" t="s">
        <v>30</v>
      </c>
      <c r="C17" s="4">
        <v>30</v>
      </c>
      <c r="D17" s="4">
        <v>1.48</v>
      </c>
      <c r="E17" s="4">
        <v>0.24</v>
      </c>
      <c r="F17" s="4">
        <v>9.8000000000000007</v>
      </c>
      <c r="G17" s="4">
        <v>35.46</v>
      </c>
      <c r="H17" s="8">
        <v>0.03</v>
      </c>
      <c r="I17" s="9">
        <v>0</v>
      </c>
      <c r="J17" s="9">
        <v>0</v>
      </c>
      <c r="K17" s="4">
        <v>0.31</v>
      </c>
      <c r="L17" s="8">
        <v>7.87</v>
      </c>
      <c r="M17" s="8">
        <v>35.549999999999997</v>
      </c>
      <c r="N17" s="8">
        <v>10.6</v>
      </c>
      <c r="O17" s="4">
        <v>0.8</v>
      </c>
      <c r="P17" s="5"/>
      <c r="Q17" s="5"/>
      <c r="R17" s="3"/>
      <c r="S17" s="2"/>
    </row>
    <row r="18" spans="1:19" x14ac:dyDescent="0.3">
      <c r="A18" s="4" t="s">
        <v>67</v>
      </c>
      <c r="B18" s="7" t="s">
        <v>66</v>
      </c>
      <c r="C18" s="4">
        <v>200</v>
      </c>
      <c r="D18" s="8">
        <v>0.16</v>
      </c>
      <c r="E18" s="4">
        <v>0.16</v>
      </c>
      <c r="F18" s="8">
        <v>23.88</v>
      </c>
      <c r="G18" s="8">
        <f>F18*4+E18*9+D18*4</f>
        <v>97.6</v>
      </c>
      <c r="H18" s="20">
        <v>0.01</v>
      </c>
      <c r="I18" s="21">
        <v>0.9</v>
      </c>
      <c r="J18" s="25">
        <v>0</v>
      </c>
      <c r="K18" s="20">
        <v>0.08</v>
      </c>
      <c r="L18" s="21">
        <v>14.18</v>
      </c>
      <c r="M18" s="21">
        <v>4.4000000000000004</v>
      </c>
      <c r="N18" s="21">
        <v>5.14</v>
      </c>
      <c r="O18" s="21">
        <v>0.95</v>
      </c>
      <c r="P18" s="5"/>
      <c r="Q18" s="5"/>
      <c r="R18" s="3"/>
      <c r="S18" s="2"/>
    </row>
    <row r="19" spans="1:19" x14ac:dyDescent="0.3">
      <c r="A19" s="4"/>
      <c r="B19" s="7" t="s">
        <v>48</v>
      </c>
      <c r="C19" s="4">
        <v>100</v>
      </c>
      <c r="D19" s="8">
        <v>1.5</v>
      </c>
      <c r="E19" s="8">
        <v>0.5</v>
      </c>
      <c r="F19" s="8">
        <v>21</v>
      </c>
      <c r="G19" s="8">
        <f>F19*4+E19*9+D19*4</f>
        <v>94.5</v>
      </c>
      <c r="H19" s="4">
        <v>0.04</v>
      </c>
      <c r="I19" s="8">
        <v>10</v>
      </c>
      <c r="J19" s="9">
        <v>0</v>
      </c>
      <c r="K19" s="8">
        <v>0.4</v>
      </c>
      <c r="L19" s="8">
        <v>8</v>
      </c>
      <c r="M19" s="8">
        <v>28</v>
      </c>
      <c r="N19" s="8">
        <v>42</v>
      </c>
      <c r="O19" s="8">
        <v>0.6</v>
      </c>
      <c r="P19" s="5"/>
      <c r="Q19" s="5"/>
      <c r="R19" s="3"/>
      <c r="S19" s="2"/>
    </row>
    <row r="20" spans="1:19" x14ac:dyDescent="0.3">
      <c r="A20" s="100" t="s">
        <v>37</v>
      </c>
      <c r="B20" s="101"/>
      <c r="C20" s="4"/>
      <c r="D20" s="15">
        <f t="shared" ref="D20:O20" si="1">SUM(D12:D19)</f>
        <v>43.12</v>
      </c>
      <c r="E20" s="15">
        <f t="shared" si="1"/>
        <v>35.68</v>
      </c>
      <c r="F20" s="14">
        <f t="shared" si="1"/>
        <v>125.41</v>
      </c>
      <c r="G20" s="15">
        <f t="shared" si="1"/>
        <v>966.06000000000006</v>
      </c>
      <c r="H20" s="15">
        <f t="shared" si="1"/>
        <v>0.46</v>
      </c>
      <c r="I20" s="15">
        <f t="shared" si="1"/>
        <v>35.224999999999994</v>
      </c>
      <c r="J20" s="15">
        <f t="shared" si="1"/>
        <v>0.82000000000000006</v>
      </c>
      <c r="K20" s="15">
        <f t="shared" si="1"/>
        <v>13.190000000000001</v>
      </c>
      <c r="L20" s="15">
        <f t="shared" si="1"/>
        <v>197.20000000000002</v>
      </c>
      <c r="M20" s="15">
        <f t="shared" si="1"/>
        <v>536.95000000000005</v>
      </c>
      <c r="N20" s="15">
        <f t="shared" si="1"/>
        <v>203.67</v>
      </c>
      <c r="O20" s="15">
        <f t="shared" si="1"/>
        <v>7.5949999999999989</v>
      </c>
      <c r="P20" s="5"/>
      <c r="Q20" s="5"/>
      <c r="R20" s="3"/>
      <c r="S20" s="2"/>
    </row>
    <row r="21" spans="1:19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5"/>
      <c r="Q21" s="5"/>
      <c r="R21" s="3"/>
      <c r="S21" s="2"/>
    </row>
    <row r="22" spans="1:19" x14ac:dyDescent="0.3">
      <c r="A22" s="100" t="s">
        <v>35</v>
      </c>
      <c r="B22" s="101"/>
      <c r="C22" s="4"/>
      <c r="D22" s="15">
        <f t="shared" ref="D22:O22" si="2">D10+D20</f>
        <v>58.05</v>
      </c>
      <c r="E22" s="15">
        <f t="shared" si="2"/>
        <v>47.56</v>
      </c>
      <c r="F22" s="15">
        <f t="shared" si="2"/>
        <v>293.59000000000003</v>
      </c>
      <c r="G22" s="15">
        <f t="shared" si="2"/>
        <v>1797.46</v>
      </c>
      <c r="H22" s="15">
        <f t="shared" si="2"/>
        <v>0.64500000000000002</v>
      </c>
      <c r="I22" s="15">
        <f t="shared" si="2"/>
        <v>37.894999999999996</v>
      </c>
      <c r="J22" s="15">
        <f t="shared" si="2"/>
        <v>11.315</v>
      </c>
      <c r="K22" s="15">
        <f t="shared" si="2"/>
        <v>13.73</v>
      </c>
      <c r="L22" s="14">
        <f t="shared" si="2"/>
        <v>834.7</v>
      </c>
      <c r="M22" s="15">
        <f t="shared" si="2"/>
        <v>952.95</v>
      </c>
      <c r="N22" s="15">
        <f t="shared" si="2"/>
        <v>301.39499999999998</v>
      </c>
      <c r="O22" s="15">
        <f t="shared" si="2"/>
        <v>9.43</v>
      </c>
      <c r="P22" s="5"/>
      <c r="Q22" s="5"/>
      <c r="R22" s="3"/>
      <c r="S22" s="2"/>
    </row>
    <row r="23" spans="1:19" x14ac:dyDescent="0.3">
      <c r="A23" s="41"/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37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7"/>
    </row>
    <row r="32" spans="1:1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  <c r="N32" s="37"/>
      <c r="P32" s="5"/>
      <c r="Q32" s="5"/>
      <c r="R32" s="3"/>
      <c r="S32" s="37"/>
    </row>
    <row r="33" spans="1: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37"/>
    </row>
    <row r="34" spans="1:14" x14ac:dyDescent="0.3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7"/>
    </row>
    <row r="35" spans="1: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2"/>
    </row>
    <row r="36" spans="1: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4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4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4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4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5"/>
      <c r="L45" s="5"/>
      <c r="M45" s="3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5"/>
      <c r="L46" s="5"/>
      <c r="M46" s="3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3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"/>
      <c r="L48" s="5"/>
      <c r="M48" s="3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7"/>
      <c r="L49" s="27"/>
      <c r="M49" s="2"/>
      <c r="N49" s="2"/>
    </row>
    <row r="50" spans="1:14" x14ac:dyDescent="0.3">
      <c r="K50" s="2"/>
    </row>
    <row r="51" spans="1:14" x14ac:dyDescent="0.3">
      <c r="K51" s="2"/>
    </row>
    <row r="52" spans="1:14" x14ac:dyDescent="0.3">
      <c r="K52" s="2"/>
    </row>
    <row r="53" spans="1:14" x14ac:dyDescent="0.3">
      <c r="K53" s="2"/>
    </row>
    <row r="66" spans="2:16" x14ac:dyDescent="0.3">
      <c r="B66" s="5"/>
      <c r="C66" s="16"/>
      <c r="D66" s="5"/>
      <c r="E66" s="29"/>
      <c r="F66" s="29"/>
      <c r="G66" s="5"/>
      <c r="H66" s="29"/>
      <c r="I66" s="5"/>
      <c r="J66" s="29"/>
      <c r="K66" s="30"/>
      <c r="L66" s="5"/>
      <c r="M66" s="29"/>
      <c r="N66" s="29"/>
      <c r="O66" s="29"/>
    </row>
    <row r="71" spans="2:16" x14ac:dyDescent="0.3">
      <c r="P71" s="29"/>
    </row>
  </sheetData>
  <mergeCells count="17">
    <mergeCell ref="L3:O3"/>
    <mergeCell ref="A10:B10"/>
    <mergeCell ref="A11:O11"/>
    <mergeCell ref="A20:B20"/>
    <mergeCell ref="A21:O21"/>
    <mergeCell ref="G3:G4"/>
    <mergeCell ref="H3:K3"/>
    <mergeCell ref="A22:B22"/>
    <mergeCell ref="A3:A4"/>
    <mergeCell ref="B3:B4"/>
    <mergeCell ref="C3:C4"/>
    <mergeCell ref="D3:F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9" customWidth="1"/>
    <col min="3" max="3" width="6.6640625" customWidth="1"/>
    <col min="4" max="4" width="7.6640625" customWidth="1"/>
    <col min="5" max="5" width="7" customWidth="1"/>
    <col min="6" max="6" width="8.5546875" customWidth="1"/>
    <col min="7" max="7" width="7.33203125" customWidth="1"/>
    <col min="8" max="8" width="5.6640625" customWidth="1"/>
    <col min="9" max="9" width="6.6640625" customWidth="1"/>
    <col min="10" max="10" width="5.88671875" customWidth="1"/>
    <col min="11" max="11" width="6" customWidth="1"/>
    <col min="12" max="12" width="8.44140625" customWidth="1"/>
    <col min="13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113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165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x14ac:dyDescent="0.3">
      <c r="A6" s="4" t="s">
        <v>78</v>
      </c>
      <c r="B6" s="19" t="s">
        <v>77</v>
      </c>
      <c r="C6" s="4">
        <v>200</v>
      </c>
      <c r="D6" s="8">
        <f>C6*3.1/100</f>
        <v>6.2</v>
      </c>
      <c r="E6" s="8">
        <f>C6*4.8/100</f>
        <v>9.6</v>
      </c>
      <c r="F6" s="8">
        <f>C6*13.3/100</f>
        <v>26.6</v>
      </c>
      <c r="G6" s="8">
        <f>F6*4+E6*9+D6*4</f>
        <v>217.60000000000002</v>
      </c>
      <c r="H6" s="21">
        <f>C6*0.07/100</f>
        <v>0.14000000000000001</v>
      </c>
      <c r="I6" s="25">
        <v>0</v>
      </c>
      <c r="J6" s="25">
        <v>0</v>
      </c>
      <c r="K6" s="21">
        <f>C6*1.1/100</f>
        <v>2.2000000000000002</v>
      </c>
      <c r="L6" s="21">
        <f>C6*19/100</f>
        <v>38</v>
      </c>
      <c r="M6" s="21">
        <f>C6*70/100</f>
        <v>140</v>
      </c>
      <c r="N6" s="21">
        <f>C6*29/100</f>
        <v>58</v>
      </c>
      <c r="O6" s="21">
        <f>C6*0.8/100</f>
        <v>1.6</v>
      </c>
      <c r="P6" s="5"/>
      <c r="Q6" s="5"/>
      <c r="R6" s="3"/>
      <c r="S6" s="2"/>
    </row>
    <row r="7" spans="1:19" x14ac:dyDescent="0.3">
      <c r="A7" s="4" t="s">
        <v>134</v>
      </c>
      <c r="B7" s="7" t="s">
        <v>135</v>
      </c>
      <c r="C7" s="4">
        <v>20</v>
      </c>
      <c r="D7" s="4">
        <v>0.16</v>
      </c>
      <c r="E7" s="8">
        <v>14.5</v>
      </c>
      <c r="F7" s="8">
        <v>0.26</v>
      </c>
      <c r="G7" s="8">
        <v>132</v>
      </c>
      <c r="H7" s="25">
        <v>0</v>
      </c>
      <c r="I7" s="25">
        <v>0</v>
      </c>
      <c r="J7" s="25">
        <v>0.2</v>
      </c>
      <c r="K7" s="25">
        <v>0</v>
      </c>
      <c r="L7" s="25">
        <v>2</v>
      </c>
      <c r="M7" s="25">
        <v>0</v>
      </c>
      <c r="N7" s="25">
        <v>4</v>
      </c>
      <c r="O7" s="25">
        <v>0</v>
      </c>
      <c r="P7" s="5"/>
      <c r="Q7" s="5"/>
      <c r="R7" s="3"/>
      <c r="S7" s="2"/>
    </row>
    <row r="8" spans="1:19" x14ac:dyDescent="0.3">
      <c r="A8" s="4"/>
      <c r="B8" s="7" t="s">
        <v>20</v>
      </c>
      <c r="C8" s="60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x14ac:dyDescent="0.3">
      <c r="A9" s="4" t="s">
        <v>70</v>
      </c>
      <c r="B9" s="7" t="s">
        <v>50</v>
      </c>
      <c r="C9" s="4">
        <v>200</v>
      </c>
      <c r="D9" s="8">
        <v>0.2</v>
      </c>
      <c r="E9" s="9">
        <v>0</v>
      </c>
      <c r="F9" s="8">
        <v>14</v>
      </c>
      <c r="G9" s="8">
        <f>F9*4+E9*9+D9*4</f>
        <v>56.8</v>
      </c>
      <c r="H9" s="9">
        <v>0</v>
      </c>
      <c r="I9" s="9">
        <v>0</v>
      </c>
      <c r="J9" s="9">
        <v>0</v>
      </c>
      <c r="K9" s="9">
        <v>0</v>
      </c>
      <c r="L9" s="8">
        <v>12</v>
      </c>
      <c r="M9" s="8">
        <v>4</v>
      </c>
      <c r="N9" s="8">
        <v>6</v>
      </c>
      <c r="O9" s="8">
        <v>0.8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0">SUM(D6:D9)</f>
        <v>9.6</v>
      </c>
      <c r="E10" s="14">
        <f t="shared" si="0"/>
        <v>24.46</v>
      </c>
      <c r="F10" s="15">
        <f t="shared" si="0"/>
        <v>60.74</v>
      </c>
      <c r="G10" s="15">
        <f t="shared" si="0"/>
        <v>496.8</v>
      </c>
      <c r="H10" s="15">
        <f t="shared" si="0"/>
        <v>0.14000000000000001</v>
      </c>
      <c r="I10" s="18">
        <f t="shared" si="0"/>
        <v>0</v>
      </c>
      <c r="J10" s="14">
        <f t="shared" si="0"/>
        <v>10.6</v>
      </c>
      <c r="K10" s="14">
        <f t="shared" si="0"/>
        <v>2.64</v>
      </c>
      <c r="L10" s="14">
        <f t="shared" si="0"/>
        <v>85.2</v>
      </c>
      <c r="M10" s="15">
        <f t="shared" si="0"/>
        <v>177.2</v>
      </c>
      <c r="N10" s="14">
        <f t="shared" si="0"/>
        <v>82</v>
      </c>
      <c r="O10" s="14">
        <f t="shared" si="0"/>
        <v>3.04</v>
      </c>
      <c r="P10" s="5"/>
      <c r="Q10" s="5"/>
      <c r="R10" s="3" t="s">
        <v>21</v>
      </c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x14ac:dyDescent="0.3">
      <c r="A12" s="4" t="s">
        <v>103</v>
      </c>
      <c r="B12" s="7" t="s">
        <v>102</v>
      </c>
      <c r="C12" s="4">
        <v>100</v>
      </c>
      <c r="D12" s="8">
        <f>C12*1.3/100</f>
        <v>1.3</v>
      </c>
      <c r="E12" s="8">
        <f>C12*9.9/100</f>
        <v>9.9</v>
      </c>
      <c r="F12" s="8">
        <f>C12*8.4/100</f>
        <v>8.4</v>
      </c>
      <c r="G12" s="8">
        <f t="shared" ref="G12:G19" si="1">F12*4+E12*9+D12*4</f>
        <v>127.90000000000002</v>
      </c>
      <c r="H12" s="8">
        <f>C12*0.1/100</f>
        <v>0.1</v>
      </c>
      <c r="I12" s="8">
        <f>C12*13/100</f>
        <v>13</v>
      </c>
      <c r="J12" s="9">
        <v>0</v>
      </c>
      <c r="K12" s="8">
        <f>C12*2.95/100</f>
        <v>2.95</v>
      </c>
      <c r="L12" s="8">
        <f>C12*40.4/100</f>
        <v>40.4</v>
      </c>
      <c r="M12" s="8">
        <f>C12*48.8/100</f>
        <v>48.8</v>
      </c>
      <c r="N12" s="8">
        <f>C12*23.4/100</f>
        <v>23.4</v>
      </c>
      <c r="O12" s="8">
        <f>C12*1.02/100</f>
        <v>1.02</v>
      </c>
      <c r="P12" s="5"/>
      <c r="Q12" s="5"/>
      <c r="R12" s="3"/>
      <c r="S12" s="2"/>
    </row>
    <row r="13" spans="1:19" x14ac:dyDescent="0.3">
      <c r="A13" s="4" t="s">
        <v>56</v>
      </c>
      <c r="B13" s="7" t="s">
        <v>55</v>
      </c>
      <c r="C13" s="4">
        <v>250</v>
      </c>
      <c r="D13" s="8">
        <f>C13*0.87/100</f>
        <v>2.1749999999999998</v>
      </c>
      <c r="E13" s="8">
        <f>C13*2.05/100</f>
        <v>5.125</v>
      </c>
      <c r="F13" s="8">
        <f>C13*6.64/100</f>
        <v>16.600000000000001</v>
      </c>
      <c r="G13" s="8">
        <f t="shared" si="1"/>
        <v>121.22500000000001</v>
      </c>
      <c r="H13" s="4">
        <v>0.09</v>
      </c>
      <c r="I13" s="8">
        <v>8.3800000000000008</v>
      </c>
      <c r="J13" s="9">
        <v>0</v>
      </c>
      <c r="K13" s="4">
        <v>2.35</v>
      </c>
      <c r="L13" s="8">
        <v>29.15</v>
      </c>
      <c r="M13" s="8">
        <v>56.73</v>
      </c>
      <c r="N13" s="8">
        <v>24.18</v>
      </c>
      <c r="O13" s="8">
        <v>0.9</v>
      </c>
      <c r="P13" s="5"/>
      <c r="Q13" s="5"/>
      <c r="R13" s="3"/>
      <c r="S13" s="2"/>
    </row>
    <row r="14" spans="1:19" x14ac:dyDescent="0.3">
      <c r="A14" s="4" t="s">
        <v>65</v>
      </c>
      <c r="B14" s="19" t="s">
        <v>64</v>
      </c>
      <c r="C14" s="4">
        <v>200</v>
      </c>
      <c r="D14" s="8">
        <f>C14*3.5/100</f>
        <v>7</v>
      </c>
      <c r="E14" s="8">
        <f>C14*4.1/100</f>
        <v>8.1999999999999993</v>
      </c>
      <c r="F14" s="8">
        <f>C14*23.5/100</f>
        <v>47</v>
      </c>
      <c r="G14" s="8">
        <f t="shared" si="1"/>
        <v>289.8</v>
      </c>
      <c r="H14" s="4">
        <f>C14*0.04/100</f>
        <v>0.08</v>
      </c>
      <c r="I14" s="9">
        <v>0</v>
      </c>
      <c r="J14" s="9">
        <v>0</v>
      </c>
      <c r="K14" s="8">
        <f>C14*1.5/100</f>
        <v>3</v>
      </c>
      <c r="L14" s="8">
        <f>C14*24/100</f>
        <v>48</v>
      </c>
      <c r="M14" s="8">
        <f>C14*106/100</f>
        <v>212</v>
      </c>
      <c r="N14" s="8">
        <f>C14*17/100</f>
        <v>34</v>
      </c>
      <c r="O14" s="8">
        <f>C14*2.1/100</f>
        <v>4.2</v>
      </c>
      <c r="P14" s="5"/>
      <c r="Q14" s="5"/>
      <c r="R14" s="3"/>
      <c r="S14" s="2"/>
    </row>
    <row r="15" spans="1:19" x14ac:dyDescent="0.3">
      <c r="A15" s="4" t="s">
        <v>88</v>
      </c>
      <c r="B15" s="7" t="s">
        <v>87</v>
      </c>
      <c r="C15" s="4">
        <v>100</v>
      </c>
      <c r="D15" s="8">
        <f>C15*17.5/100</f>
        <v>17.5</v>
      </c>
      <c r="E15" s="8">
        <f>C15*24.9/100</f>
        <v>24.9</v>
      </c>
      <c r="F15" s="8">
        <f>C15*9/100</f>
        <v>9</v>
      </c>
      <c r="G15" s="8">
        <f t="shared" si="1"/>
        <v>330.1</v>
      </c>
      <c r="H15" s="21">
        <f>C15*0.07/100</f>
        <v>7.0000000000000007E-2</v>
      </c>
      <c r="I15" s="25">
        <v>0</v>
      </c>
      <c r="J15" s="21">
        <f>C15*0.01/100</f>
        <v>0.01</v>
      </c>
      <c r="K15" s="21">
        <f>C15*1.1/100</f>
        <v>1.1000000000000001</v>
      </c>
      <c r="L15" s="21">
        <f>C15*18/100</f>
        <v>18</v>
      </c>
      <c r="M15" s="21">
        <f>C15*151/100</f>
        <v>151</v>
      </c>
      <c r="N15" s="21">
        <f>C15*28/100</f>
        <v>28</v>
      </c>
      <c r="O15" s="21">
        <f>C15*1.6/100</f>
        <v>1.6</v>
      </c>
      <c r="P15" s="5"/>
      <c r="Q15" s="5"/>
      <c r="R15" s="3"/>
      <c r="S15" s="2"/>
    </row>
    <row r="16" spans="1:19" x14ac:dyDescent="0.3">
      <c r="A16" s="4"/>
      <c r="B16" s="7" t="s">
        <v>20</v>
      </c>
      <c r="C16" s="4">
        <v>35</v>
      </c>
      <c r="D16" s="4">
        <v>1.88</v>
      </c>
      <c r="E16" s="8">
        <v>0.2</v>
      </c>
      <c r="F16" s="4">
        <v>12.13</v>
      </c>
      <c r="G16" s="8">
        <v>40.479999999999997</v>
      </c>
      <c r="H16" s="8">
        <v>0.03</v>
      </c>
      <c r="I16" s="9">
        <v>0</v>
      </c>
      <c r="J16" s="9">
        <v>0</v>
      </c>
      <c r="K16" s="4">
        <v>0.3</v>
      </c>
      <c r="L16" s="8">
        <v>5</v>
      </c>
      <c r="M16" s="8">
        <v>15.9</v>
      </c>
      <c r="N16" s="8">
        <v>3.43</v>
      </c>
      <c r="O16" s="4">
        <v>0.27</v>
      </c>
      <c r="P16" s="5"/>
      <c r="Q16" s="5"/>
      <c r="R16" s="3"/>
      <c r="S16" s="2"/>
    </row>
    <row r="17" spans="1:19" x14ac:dyDescent="0.3">
      <c r="A17" s="4"/>
      <c r="B17" s="7" t="s">
        <v>30</v>
      </c>
      <c r="C17" s="4">
        <v>30</v>
      </c>
      <c r="D17" s="4">
        <v>1.48</v>
      </c>
      <c r="E17" s="4">
        <v>0.24</v>
      </c>
      <c r="F17" s="4">
        <v>9.8000000000000007</v>
      </c>
      <c r="G17" s="4">
        <v>35.46</v>
      </c>
      <c r="H17" s="8">
        <v>0.03</v>
      </c>
      <c r="I17" s="9">
        <v>0</v>
      </c>
      <c r="J17" s="9">
        <v>0</v>
      </c>
      <c r="K17" s="4">
        <v>0.31</v>
      </c>
      <c r="L17" s="8">
        <v>7.87</v>
      </c>
      <c r="M17" s="8">
        <v>35.549999999999997</v>
      </c>
      <c r="N17" s="8">
        <v>10.6</v>
      </c>
      <c r="O17" s="4">
        <v>0.8</v>
      </c>
      <c r="P17" s="5"/>
      <c r="Q17" s="5"/>
      <c r="R17" s="3"/>
      <c r="S17" s="2"/>
    </row>
    <row r="18" spans="1:19" x14ac:dyDescent="0.3">
      <c r="A18" s="4" t="s">
        <v>107</v>
      </c>
      <c r="B18" s="7" t="s">
        <v>137</v>
      </c>
      <c r="C18" s="4">
        <v>200</v>
      </c>
      <c r="D18" s="8">
        <v>0.4</v>
      </c>
      <c r="E18" s="8">
        <v>0.27</v>
      </c>
      <c r="F18" s="8">
        <v>17.2</v>
      </c>
      <c r="G18" s="8">
        <f t="shared" si="1"/>
        <v>72.83</v>
      </c>
      <c r="H18" s="8">
        <v>0.01</v>
      </c>
      <c r="I18" s="8">
        <v>24</v>
      </c>
      <c r="J18" s="9">
        <v>0</v>
      </c>
      <c r="K18" s="9">
        <v>0</v>
      </c>
      <c r="L18" s="8">
        <v>13.2</v>
      </c>
      <c r="M18" s="8">
        <v>2.13</v>
      </c>
      <c r="N18" s="8">
        <v>2.67</v>
      </c>
      <c r="O18" s="8">
        <v>0.53</v>
      </c>
      <c r="P18" s="5"/>
      <c r="Q18" s="5"/>
      <c r="R18" s="3"/>
      <c r="S18" s="2"/>
    </row>
    <row r="19" spans="1:19" x14ac:dyDescent="0.3">
      <c r="A19" s="4"/>
      <c r="B19" s="7" t="s">
        <v>61</v>
      </c>
      <c r="C19" s="4">
        <v>100</v>
      </c>
      <c r="D19" s="8">
        <v>0.4</v>
      </c>
      <c r="E19" s="8">
        <v>0.3</v>
      </c>
      <c r="F19" s="8">
        <v>10.3</v>
      </c>
      <c r="G19" s="8">
        <f t="shared" si="1"/>
        <v>45.500000000000007</v>
      </c>
      <c r="H19" s="4">
        <v>0.02</v>
      </c>
      <c r="I19" s="8">
        <v>5</v>
      </c>
      <c r="J19" s="9">
        <v>0</v>
      </c>
      <c r="K19" s="8">
        <v>0.4</v>
      </c>
      <c r="L19" s="8">
        <v>19</v>
      </c>
      <c r="M19" s="8">
        <v>16</v>
      </c>
      <c r="N19" s="8">
        <v>12</v>
      </c>
      <c r="O19" s="8">
        <v>2.2999999999999998</v>
      </c>
      <c r="P19" s="5"/>
      <c r="Q19" s="5"/>
      <c r="R19" s="3"/>
      <c r="S19" s="2"/>
    </row>
    <row r="20" spans="1:19" x14ac:dyDescent="0.3">
      <c r="A20" s="100" t="s">
        <v>37</v>
      </c>
      <c r="B20" s="101"/>
      <c r="C20" s="4"/>
      <c r="D20" s="15">
        <f t="shared" ref="D20:O20" si="2">SUM(D12:D19)</f>
        <v>32.134999999999998</v>
      </c>
      <c r="E20" s="15">
        <f t="shared" si="2"/>
        <v>49.135000000000005</v>
      </c>
      <c r="F20" s="15">
        <f t="shared" si="2"/>
        <v>130.43</v>
      </c>
      <c r="G20" s="15">
        <f t="shared" si="2"/>
        <v>1063.2950000000003</v>
      </c>
      <c r="H20" s="15">
        <f t="shared" si="2"/>
        <v>0.43000000000000005</v>
      </c>
      <c r="I20" s="15">
        <f t="shared" si="2"/>
        <v>50.38</v>
      </c>
      <c r="J20" s="15">
        <f t="shared" si="2"/>
        <v>0.01</v>
      </c>
      <c r="K20" s="15">
        <f t="shared" si="2"/>
        <v>10.410000000000002</v>
      </c>
      <c r="L20" s="15">
        <f t="shared" si="2"/>
        <v>180.62</v>
      </c>
      <c r="M20" s="15">
        <f t="shared" si="2"/>
        <v>538.1099999999999</v>
      </c>
      <c r="N20" s="15">
        <f t="shared" si="2"/>
        <v>138.28</v>
      </c>
      <c r="O20" s="15">
        <f t="shared" si="2"/>
        <v>11.620000000000001</v>
      </c>
      <c r="P20" s="5"/>
      <c r="Q20" s="5"/>
      <c r="R20" s="3"/>
      <c r="S20" s="2"/>
    </row>
    <row r="21" spans="1:19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5"/>
      <c r="Q21" s="5"/>
      <c r="R21" s="3"/>
      <c r="S21" s="2"/>
    </row>
    <row r="22" spans="1:19" x14ac:dyDescent="0.3">
      <c r="A22" s="100" t="s">
        <v>35</v>
      </c>
      <c r="B22" s="101"/>
      <c r="C22" s="4"/>
      <c r="D22" s="15">
        <f t="shared" ref="D22:O22" si="3">D10+D20</f>
        <v>41.734999999999999</v>
      </c>
      <c r="E22" s="15">
        <f t="shared" si="3"/>
        <v>73.594999999999999</v>
      </c>
      <c r="F22" s="15">
        <f t="shared" si="3"/>
        <v>191.17000000000002</v>
      </c>
      <c r="G22" s="15">
        <f t="shared" si="3"/>
        <v>1560.0950000000003</v>
      </c>
      <c r="H22" s="15">
        <f t="shared" si="3"/>
        <v>0.57000000000000006</v>
      </c>
      <c r="I22" s="15">
        <f t="shared" si="3"/>
        <v>50.38</v>
      </c>
      <c r="J22" s="15">
        <f t="shared" si="3"/>
        <v>10.61</v>
      </c>
      <c r="K22" s="14">
        <f t="shared" si="3"/>
        <v>13.050000000000002</v>
      </c>
      <c r="L22" s="14">
        <f t="shared" si="3"/>
        <v>265.82</v>
      </c>
      <c r="M22" s="14">
        <f t="shared" si="3"/>
        <v>715.31</v>
      </c>
      <c r="N22" s="14">
        <f t="shared" si="3"/>
        <v>220.28</v>
      </c>
      <c r="O22" s="14">
        <f t="shared" si="3"/>
        <v>14.66</v>
      </c>
      <c r="P22" s="5"/>
      <c r="Q22" s="5"/>
      <c r="R22" s="3"/>
      <c r="S22" s="2"/>
    </row>
    <row r="23" spans="1:19" x14ac:dyDescent="0.3">
      <c r="A23" s="41"/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37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7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37"/>
    </row>
    <row r="33" spans="1:19" x14ac:dyDescent="0.3">
      <c r="A33" s="5"/>
      <c r="B33" s="1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S33" s="37"/>
    </row>
    <row r="34" spans="1:19" x14ac:dyDescent="0.3">
      <c r="A34" s="5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"/>
      <c r="S34" s="37"/>
    </row>
    <row r="35" spans="1:19" x14ac:dyDescent="0.3">
      <c r="A35" s="5"/>
      <c r="B35" s="1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"/>
      <c r="S35" s="37"/>
    </row>
    <row r="36" spans="1:19" x14ac:dyDescent="0.3">
      <c r="A36" s="5"/>
      <c r="B36" s="1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3"/>
      <c r="S36" s="37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37"/>
      <c r="P37" s="5"/>
      <c r="Q37" s="5"/>
      <c r="R37" s="3"/>
      <c r="S37" s="37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37"/>
    </row>
    <row r="39" spans="1:19" x14ac:dyDescent="0.3">
      <c r="A39" s="5" t="s">
        <v>21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37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2"/>
    </row>
    <row r="46" spans="1:1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3"/>
      <c r="N46" s="2"/>
    </row>
    <row r="47" spans="1:1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3"/>
      <c r="N47" s="2"/>
    </row>
    <row r="48" spans="1:19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3"/>
      <c r="N48" s="2"/>
    </row>
    <row r="49" spans="1:14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3"/>
      <c r="N49" s="2"/>
    </row>
    <row r="50" spans="1:1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5"/>
      <c r="L50" s="5"/>
      <c r="M50" s="3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5"/>
      <c r="L51" s="5"/>
      <c r="M51" s="3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5"/>
      <c r="L52" s="5"/>
      <c r="M52" s="3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5"/>
      <c r="L53" s="5"/>
      <c r="M53" s="3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7"/>
      <c r="L54" s="27"/>
      <c r="M54" s="2"/>
      <c r="N54" s="2"/>
    </row>
    <row r="55" spans="1:14" x14ac:dyDescent="0.3">
      <c r="K55" s="2"/>
    </row>
    <row r="56" spans="1:14" x14ac:dyDescent="0.3">
      <c r="K56" s="2"/>
    </row>
    <row r="57" spans="1:14" x14ac:dyDescent="0.3">
      <c r="K57" s="2"/>
    </row>
    <row r="58" spans="1:14" x14ac:dyDescent="0.3">
      <c r="K58" s="2"/>
    </row>
  </sheetData>
  <mergeCells count="17">
    <mergeCell ref="L3:O3"/>
    <mergeCell ref="A10:B10"/>
    <mergeCell ref="A11:O11"/>
    <mergeCell ref="A20:B20"/>
    <mergeCell ref="A21:O21"/>
    <mergeCell ref="G3:G4"/>
    <mergeCell ref="H3:K3"/>
    <mergeCell ref="A22:B22"/>
    <mergeCell ref="A3:A4"/>
    <mergeCell ref="B3:B4"/>
    <mergeCell ref="C3:C4"/>
    <mergeCell ref="D3:F3"/>
    <mergeCell ref="A1:C1"/>
    <mergeCell ref="D1:H1"/>
    <mergeCell ref="D2:H2"/>
    <mergeCell ref="J1:O1"/>
    <mergeCell ref="J2:O2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WhiteSpace="0" view="pageLayout" zoomScale="91" zoomScaleNormal="110" zoomScalePageLayoutView="91" workbookViewId="0">
      <selection activeCell="D2" sqref="D2:H2"/>
    </sheetView>
  </sheetViews>
  <sheetFormatPr defaultRowHeight="14.4" x14ac:dyDescent="0.3"/>
  <cols>
    <col min="1" max="1" width="9.88671875" customWidth="1"/>
    <col min="2" max="2" width="25.6640625" customWidth="1"/>
    <col min="3" max="3" width="8" customWidth="1"/>
    <col min="4" max="4" width="7.6640625" customWidth="1"/>
    <col min="5" max="5" width="7" customWidth="1"/>
    <col min="7" max="7" width="7.88671875" customWidth="1"/>
    <col min="8" max="8" width="5.6640625" customWidth="1"/>
    <col min="9" max="9" width="6.6640625" customWidth="1"/>
    <col min="10" max="10" width="5.88671875" customWidth="1"/>
    <col min="11" max="11" width="6" customWidth="1"/>
    <col min="12" max="12" width="6.44140625" customWidth="1"/>
    <col min="13" max="13" width="8.6640625" customWidth="1"/>
    <col min="14" max="14" width="7" customWidth="1"/>
    <col min="15" max="15" width="8.6640625" customWidth="1"/>
  </cols>
  <sheetData>
    <row r="1" spans="1:19" ht="17.399999999999999" x14ac:dyDescent="0.35">
      <c r="A1" s="90" t="s">
        <v>138</v>
      </c>
      <c r="B1" s="90"/>
      <c r="C1" s="90"/>
      <c r="D1" s="91" t="s">
        <v>113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164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3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3"/>
      <c r="Q4" s="3"/>
      <c r="R4" s="3"/>
      <c r="S4" s="2"/>
    </row>
    <row r="5" spans="1:19" x14ac:dyDescent="0.3">
      <c r="A5" s="10"/>
      <c r="B5" s="11"/>
      <c r="C5" s="11"/>
      <c r="D5" s="11"/>
      <c r="E5" s="11"/>
      <c r="F5" s="13" t="s">
        <v>22</v>
      </c>
      <c r="G5" s="11"/>
      <c r="H5" s="11"/>
      <c r="I5" s="11"/>
      <c r="J5" s="11"/>
      <c r="K5" s="11"/>
      <c r="L5" s="11"/>
      <c r="M5" s="11"/>
      <c r="N5" s="11"/>
      <c r="O5" s="12"/>
      <c r="P5" s="3"/>
      <c r="Q5" s="3"/>
      <c r="R5" s="3"/>
      <c r="S5" s="2"/>
    </row>
    <row r="6" spans="1:19" ht="27.6" x14ac:dyDescent="0.3">
      <c r="A6" s="4" t="s">
        <v>76</v>
      </c>
      <c r="B6" s="19" t="s">
        <v>75</v>
      </c>
      <c r="C6" s="4">
        <v>250</v>
      </c>
      <c r="D6" s="8">
        <f>C6*2.88/100</f>
        <v>7.2</v>
      </c>
      <c r="E6" s="8">
        <f>C6*2.61/100</f>
        <v>6.5250000000000004</v>
      </c>
      <c r="F6" s="8">
        <f>C6*9.42/100</f>
        <v>23.55</v>
      </c>
      <c r="G6" s="8">
        <f>F6*4+E6*9+D6*4</f>
        <v>181.72500000000002</v>
      </c>
      <c r="H6" s="4">
        <v>0.08</v>
      </c>
      <c r="I6" s="8">
        <v>0.8</v>
      </c>
      <c r="J6" s="4">
        <v>2.5000000000000001E-2</v>
      </c>
      <c r="K6" s="8">
        <v>0.5</v>
      </c>
      <c r="L6" s="8">
        <v>148</v>
      </c>
      <c r="M6" s="8">
        <v>125</v>
      </c>
      <c r="N6" s="8">
        <v>20</v>
      </c>
      <c r="O6" s="8">
        <v>0.5</v>
      </c>
      <c r="P6" s="5"/>
      <c r="Q6" s="5"/>
      <c r="R6" s="3"/>
      <c r="S6" s="2"/>
    </row>
    <row r="7" spans="1:19" x14ac:dyDescent="0.3">
      <c r="A7" s="70" t="s">
        <v>143</v>
      </c>
      <c r="B7" s="64" t="s">
        <v>144</v>
      </c>
      <c r="C7" s="70">
        <v>40</v>
      </c>
      <c r="D7" s="70">
        <v>5</v>
      </c>
      <c r="E7" s="70">
        <v>4.5999999999999996</v>
      </c>
      <c r="F7" s="70">
        <v>0.3</v>
      </c>
      <c r="G7" s="70">
        <v>62.8</v>
      </c>
      <c r="H7" s="77">
        <v>0.03</v>
      </c>
      <c r="I7" s="63">
        <v>0</v>
      </c>
      <c r="J7" s="63">
        <v>0.1</v>
      </c>
      <c r="K7" s="63">
        <v>0.18</v>
      </c>
      <c r="L7" s="63">
        <v>91.6</v>
      </c>
      <c r="M7" s="63">
        <v>118.98</v>
      </c>
      <c r="N7" s="63">
        <v>17.37</v>
      </c>
      <c r="O7" s="4">
        <v>0.68</v>
      </c>
      <c r="P7" s="5"/>
      <c r="Q7" s="5"/>
      <c r="R7" s="3"/>
      <c r="S7" s="2"/>
    </row>
    <row r="8" spans="1:19" x14ac:dyDescent="0.3">
      <c r="A8" s="4"/>
      <c r="B8" s="7" t="s">
        <v>20</v>
      </c>
      <c r="C8" s="60">
        <v>40</v>
      </c>
      <c r="D8" s="63">
        <v>3.04</v>
      </c>
      <c r="E8" s="63">
        <v>0.36</v>
      </c>
      <c r="F8" s="63">
        <v>19.88</v>
      </c>
      <c r="G8" s="63">
        <v>90.4</v>
      </c>
      <c r="H8" s="63">
        <v>0</v>
      </c>
      <c r="I8" s="63">
        <v>0</v>
      </c>
      <c r="J8" s="63">
        <v>10.4</v>
      </c>
      <c r="K8" s="63">
        <v>0.44</v>
      </c>
      <c r="L8" s="63">
        <v>33.200000000000003</v>
      </c>
      <c r="M8" s="63">
        <v>33.200000000000003</v>
      </c>
      <c r="N8" s="63">
        <v>14</v>
      </c>
      <c r="O8" s="4">
        <v>0.64</v>
      </c>
      <c r="P8" s="5"/>
      <c r="Q8" s="5"/>
      <c r="R8" s="3"/>
      <c r="S8" s="2"/>
    </row>
    <row r="9" spans="1:19" x14ac:dyDescent="0.3">
      <c r="A9" s="4" t="s">
        <v>52</v>
      </c>
      <c r="B9" s="7" t="s">
        <v>31</v>
      </c>
      <c r="C9" s="4">
        <v>200</v>
      </c>
      <c r="D9" s="8">
        <v>0.6</v>
      </c>
      <c r="E9" s="9">
        <v>0</v>
      </c>
      <c r="F9" s="8">
        <v>31.4</v>
      </c>
      <c r="G9" s="9">
        <f t="shared" ref="G9" si="0">F9*4+E9*9+D9*4</f>
        <v>128</v>
      </c>
      <c r="H9" s="4">
        <v>0.02</v>
      </c>
      <c r="I9" s="4">
        <v>0.73</v>
      </c>
      <c r="J9" s="9">
        <v>0</v>
      </c>
      <c r="K9" s="4">
        <v>0.51</v>
      </c>
      <c r="L9" s="4">
        <v>32.479999999999997</v>
      </c>
      <c r="M9" s="4">
        <v>23.44</v>
      </c>
      <c r="N9" s="4">
        <v>17.46</v>
      </c>
      <c r="O9" s="8">
        <v>0.7</v>
      </c>
      <c r="P9" s="5"/>
      <c r="Q9" s="5"/>
      <c r="R9" s="3"/>
      <c r="S9" s="2"/>
    </row>
    <row r="10" spans="1:19" x14ac:dyDescent="0.3">
      <c r="A10" s="100" t="s">
        <v>36</v>
      </c>
      <c r="B10" s="101"/>
      <c r="C10" s="14"/>
      <c r="D10" s="14">
        <f t="shared" ref="D10:O10" si="1">SUM(D6:D9)</f>
        <v>15.839999999999998</v>
      </c>
      <c r="E10" s="15">
        <f t="shared" si="1"/>
        <v>11.484999999999999</v>
      </c>
      <c r="F10" s="15">
        <f t="shared" si="1"/>
        <v>75.13</v>
      </c>
      <c r="G10" s="15">
        <f t="shared" si="1"/>
        <v>462.92500000000007</v>
      </c>
      <c r="H10" s="15">
        <f t="shared" si="1"/>
        <v>0.13</v>
      </c>
      <c r="I10" s="14">
        <f t="shared" si="1"/>
        <v>1.53</v>
      </c>
      <c r="J10" s="15">
        <f t="shared" si="1"/>
        <v>10.525</v>
      </c>
      <c r="K10" s="14">
        <f t="shared" si="1"/>
        <v>1.63</v>
      </c>
      <c r="L10" s="14">
        <f t="shared" si="1"/>
        <v>305.28000000000003</v>
      </c>
      <c r="M10" s="14">
        <f t="shared" si="1"/>
        <v>300.62</v>
      </c>
      <c r="N10" s="14">
        <f t="shared" si="1"/>
        <v>68.830000000000013</v>
      </c>
      <c r="O10" s="14">
        <f t="shared" si="1"/>
        <v>2.5200000000000005</v>
      </c>
      <c r="P10" s="5"/>
      <c r="Q10" s="5"/>
      <c r="R10" s="3" t="s">
        <v>21</v>
      </c>
      <c r="S10" s="2"/>
    </row>
    <row r="11" spans="1:19" x14ac:dyDescent="0.3">
      <c r="A11" s="100" t="s">
        <v>23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1"/>
      <c r="P11" s="5"/>
      <c r="Q11" s="5"/>
      <c r="R11" s="3"/>
      <c r="S11" s="2"/>
    </row>
    <row r="12" spans="1:19" ht="27.6" x14ac:dyDescent="0.3">
      <c r="A12" s="4" t="s">
        <v>86</v>
      </c>
      <c r="B12" s="19" t="s">
        <v>85</v>
      </c>
      <c r="C12" s="4">
        <v>100</v>
      </c>
      <c r="D12" s="8">
        <f>C12*5.1/100</f>
        <v>5.0999999999999996</v>
      </c>
      <c r="E12" s="8">
        <f>C12*7.8/100</f>
        <v>7.8</v>
      </c>
      <c r="F12" s="8">
        <f>C12*7.1/100</f>
        <v>7.1</v>
      </c>
      <c r="G12" s="9">
        <f t="shared" ref="G12:G13" si="2">F12*4+E12*9+D12*4</f>
        <v>119</v>
      </c>
      <c r="H12" s="4">
        <v>0.03</v>
      </c>
      <c r="I12" s="8">
        <v>6.6</v>
      </c>
      <c r="J12" s="8">
        <v>0.04</v>
      </c>
      <c r="K12" s="8">
        <v>4.5999999999999996</v>
      </c>
      <c r="L12" s="8">
        <v>187</v>
      </c>
      <c r="M12" s="8">
        <v>154</v>
      </c>
      <c r="N12" s="8">
        <v>28</v>
      </c>
      <c r="O12" s="8">
        <v>1.5</v>
      </c>
      <c r="P12" s="5"/>
      <c r="Q12" s="5"/>
      <c r="R12" s="3"/>
      <c r="S12" s="2"/>
    </row>
    <row r="13" spans="1:19" x14ac:dyDescent="0.3">
      <c r="A13" s="4" t="s">
        <v>41</v>
      </c>
      <c r="B13" s="7" t="s">
        <v>40</v>
      </c>
      <c r="C13" s="4">
        <v>250</v>
      </c>
      <c r="D13" s="8">
        <v>6.2</v>
      </c>
      <c r="E13" s="8">
        <v>5.6</v>
      </c>
      <c r="F13" s="8">
        <v>22.3</v>
      </c>
      <c r="G13" s="9">
        <f t="shared" si="2"/>
        <v>164.4</v>
      </c>
      <c r="H13" s="4">
        <v>0.13</v>
      </c>
      <c r="I13" s="8">
        <v>4.5999999999999996</v>
      </c>
      <c r="J13" s="4">
        <v>0.01</v>
      </c>
      <c r="K13" s="9">
        <v>0</v>
      </c>
      <c r="L13" s="8">
        <v>58.24</v>
      </c>
      <c r="M13" s="8">
        <v>119.71</v>
      </c>
      <c r="N13" s="8">
        <v>33.619999999999997</v>
      </c>
      <c r="O13" s="4">
        <v>1.71</v>
      </c>
      <c r="P13" s="5"/>
      <c r="Q13" s="5"/>
      <c r="R13" s="3"/>
      <c r="S13" s="2"/>
    </row>
    <row r="14" spans="1:19" x14ac:dyDescent="0.3">
      <c r="A14" s="4" t="s">
        <v>118</v>
      </c>
      <c r="B14" s="19" t="s">
        <v>116</v>
      </c>
      <c r="C14" s="4">
        <v>200</v>
      </c>
      <c r="D14" s="8">
        <f>C14*1.9/100</f>
        <v>3.8</v>
      </c>
      <c r="E14" s="8">
        <f>C14*4.5/100</f>
        <v>9</v>
      </c>
      <c r="F14" s="8">
        <f>C14*10.6/100</f>
        <v>21.2</v>
      </c>
      <c r="G14" s="8">
        <f t="shared" ref="G14:G19" si="3">F14*4+E14*9+D14*4</f>
        <v>181</v>
      </c>
      <c r="H14" s="21">
        <f>C14*0.05/100</f>
        <v>0.1</v>
      </c>
      <c r="I14" s="25">
        <f>C14*8/100</f>
        <v>16</v>
      </c>
      <c r="J14" s="25">
        <v>0</v>
      </c>
      <c r="K14" s="20">
        <f>C14*1.2/100</f>
        <v>2.4</v>
      </c>
      <c r="L14" s="21">
        <f>C14*38/100</f>
        <v>76</v>
      </c>
      <c r="M14" s="21">
        <f>C14*65/100</f>
        <v>130</v>
      </c>
      <c r="N14" s="21">
        <f>C14*27/100</f>
        <v>54</v>
      </c>
      <c r="O14" s="21">
        <f>C14*0.8/100</f>
        <v>1.6</v>
      </c>
      <c r="P14" s="5"/>
      <c r="Q14" s="5"/>
      <c r="R14" s="3"/>
      <c r="S14" s="2"/>
    </row>
    <row r="15" spans="1:19" x14ac:dyDescent="0.3">
      <c r="A15" s="4" t="s">
        <v>125</v>
      </c>
      <c r="B15" s="7" t="s">
        <v>119</v>
      </c>
      <c r="C15" s="4">
        <v>100</v>
      </c>
      <c r="D15" s="8">
        <f>C15*18.2/100</f>
        <v>18.2</v>
      </c>
      <c r="E15" s="8">
        <f>C15*15/100</f>
        <v>15</v>
      </c>
      <c r="F15" s="8">
        <f>C15*3.9/100</f>
        <v>3.9</v>
      </c>
      <c r="G15" s="8">
        <f t="shared" si="3"/>
        <v>223.39999999999998</v>
      </c>
      <c r="H15" s="21">
        <f>C15*0.08/100</f>
        <v>0.08</v>
      </c>
      <c r="I15" s="21">
        <f>C15*0.8/100</f>
        <v>0.8</v>
      </c>
      <c r="J15" s="21">
        <f>C15*0.04/100</f>
        <v>0.04</v>
      </c>
      <c r="K15" s="21">
        <f>C15*1.8/100</f>
        <v>1.8</v>
      </c>
      <c r="L15" s="21">
        <f>C15*58/100</f>
        <v>58</v>
      </c>
      <c r="M15" s="21">
        <f>C15*108/100</f>
        <v>108</v>
      </c>
      <c r="N15" s="21">
        <f>C15*30/100</f>
        <v>30</v>
      </c>
      <c r="O15" s="21">
        <f>C15*1.8/100</f>
        <v>1.8</v>
      </c>
      <c r="P15" s="5"/>
      <c r="Q15" s="5"/>
      <c r="R15" s="3"/>
      <c r="S15" s="2"/>
    </row>
    <row r="16" spans="1:19" x14ac:dyDescent="0.3">
      <c r="A16" s="4"/>
      <c r="B16" s="7" t="s">
        <v>20</v>
      </c>
      <c r="C16" s="4">
        <v>35</v>
      </c>
      <c r="D16" s="4">
        <v>1.88</v>
      </c>
      <c r="E16" s="8">
        <v>0.2</v>
      </c>
      <c r="F16" s="4">
        <v>12.13</v>
      </c>
      <c r="G16" s="8">
        <v>40.479999999999997</v>
      </c>
      <c r="H16" s="8">
        <v>0.03</v>
      </c>
      <c r="I16" s="9">
        <v>0</v>
      </c>
      <c r="J16" s="9">
        <v>0</v>
      </c>
      <c r="K16" s="4">
        <v>0.3</v>
      </c>
      <c r="L16" s="8">
        <v>5</v>
      </c>
      <c r="M16" s="8">
        <v>15.9</v>
      </c>
      <c r="N16" s="8">
        <v>3.43</v>
      </c>
      <c r="O16" s="4">
        <v>0.27</v>
      </c>
      <c r="P16" s="5"/>
      <c r="Q16" s="5"/>
      <c r="R16" s="3"/>
      <c r="S16" s="2"/>
    </row>
    <row r="17" spans="1:19" x14ac:dyDescent="0.3">
      <c r="A17" s="4"/>
      <c r="B17" s="7" t="s">
        <v>30</v>
      </c>
      <c r="C17" s="4">
        <v>30</v>
      </c>
      <c r="D17" s="4">
        <v>1.48</v>
      </c>
      <c r="E17" s="4">
        <v>0.24</v>
      </c>
      <c r="F17" s="4">
        <v>9.8000000000000007</v>
      </c>
      <c r="G17" s="4">
        <v>35.46</v>
      </c>
      <c r="H17" s="8">
        <v>0.03</v>
      </c>
      <c r="I17" s="9">
        <v>0</v>
      </c>
      <c r="J17" s="9">
        <v>0</v>
      </c>
      <c r="K17" s="4">
        <v>0.31</v>
      </c>
      <c r="L17" s="8">
        <v>7.87</v>
      </c>
      <c r="M17" s="8">
        <v>35.549999999999997</v>
      </c>
      <c r="N17" s="8">
        <v>10.6</v>
      </c>
      <c r="O17" s="4">
        <v>0.8</v>
      </c>
      <c r="P17" s="5"/>
      <c r="Q17" s="5"/>
      <c r="R17" s="3"/>
      <c r="S17" s="2"/>
    </row>
    <row r="18" spans="1:19" x14ac:dyDescent="0.3">
      <c r="A18" s="4" t="s">
        <v>34</v>
      </c>
      <c r="B18" s="7" t="s">
        <v>33</v>
      </c>
      <c r="C18" s="4">
        <v>200</v>
      </c>
      <c r="D18" s="8">
        <v>2.7</v>
      </c>
      <c r="E18" s="8">
        <v>2.8</v>
      </c>
      <c r="F18" s="8">
        <v>22.4</v>
      </c>
      <c r="G18" s="8">
        <f>F18*4+E18*9+D18*4</f>
        <v>125.6</v>
      </c>
      <c r="H18" s="8">
        <v>0.22</v>
      </c>
      <c r="I18" s="8">
        <v>1.3</v>
      </c>
      <c r="J18" s="8">
        <v>0.02</v>
      </c>
      <c r="K18" s="9">
        <v>0</v>
      </c>
      <c r="L18" s="4">
        <v>125.78</v>
      </c>
      <c r="M18" s="8">
        <v>90</v>
      </c>
      <c r="N18" s="8">
        <v>14</v>
      </c>
      <c r="O18" s="8">
        <v>0.13</v>
      </c>
      <c r="P18" s="5"/>
      <c r="Q18" s="5"/>
      <c r="R18" s="3"/>
      <c r="S18" s="2"/>
    </row>
    <row r="19" spans="1:19" x14ac:dyDescent="0.3">
      <c r="A19" s="4"/>
      <c r="B19" s="7" t="s">
        <v>68</v>
      </c>
      <c r="C19" s="4">
        <v>100</v>
      </c>
      <c r="D19" s="8">
        <v>0.9</v>
      </c>
      <c r="E19" s="8">
        <v>0.2</v>
      </c>
      <c r="F19" s="8">
        <v>9.5</v>
      </c>
      <c r="G19" s="8">
        <f t="shared" si="3"/>
        <v>43.4</v>
      </c>
      <c r="H19" s="4">
        <v>0.04</v>
      </c>
      <c r="I19" s="8">
        <v>60</v>
      </c>
      <c r="J19" s="9">
        <v>0</v>
      </c>
      <c r="K19" s="8">
        <v>0.2</v>
      </c>
      <c r="L19" s="8">
        <v>34</v>
      </c>
      <c r="M19" s="8">
        <v>23</v>
      </c>
      <c r="N19" s="8">
        <v>13</v>
      </c>
      <c r="O19" s="8">
        <v>0.3</v>
      </c>
      <c r="P19" s="5"/>
      <c r="Q19" s="5"/>
      <c r="R19" s="3"/>
      <c r="S19" s="2"/>
    </row>
    <row r="20" spans="1:19" x14ac:dyDescent="0.3">
      <c r="A20" s="100" t="s">
        <v>37</v>
      </c>
      <c r="B20" s="101"/>
      <c r="C20" s="4"/>
      <c r="D20" s="14">
        <f t="shared" ref="D20:O20" si="4">SUM(D12:D19)</f>
        <v>40.26</v>
      </c>
      <c r="E20" s="15">
        <f t="shared" si="4"/>
        <v>40.840000000000003</v>
      </c>
      <c r="F20" s="14">
        <f t="shared" si="4"/>
        <v>108.32999999999998</v>
      </c>
      <c r="G20" s="15">
        <f t="shared" si="4"/>
        <v>932.74</v>
      </c>
      <c r="H20" s="15">
        <f t="shared" si="4"/>
        <v>0.66</v>
      </c>
      <c r="I20" s="15">
        <f t="shared" si="4"/>
        <v>89.3</v>
      </c>
      <c r="J20" s="15">
        <f t="shared" si="4"/>
        <v>0.11</v>
      </c>
      <c r="K20" s="15">
        <f t="shared" si="4"/>
        <v>9.6100000000000012</v>
      </c>
      <c r="L20" s="15">
        <f t="shared" si="4"/>
        <v>551.89</v>
      </c>
      <c r="M20" s="15">
        <f t="shared" si="4"/>
        <v>676.16</v>
      </c>
      <c r="N20" s="15">
        <f t="shared" si="4"/>
        <v>186.65</v>
      </c>
      <c r="O20" s="15">
        <f t="shared" si="4"/>
        <v>8.1100000000000012</v>
      </c>
      <c r="P20" s="5"/>
      <c r="Q20" s="5"/>
      <c r="R20" s="3"/>
      <c r="S20" s="2"/>
    </row>
    <row r="21" spans="1:19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  <c r="P21" s="5"/>
      <c r="Q21" s="5"/>
      <c r="R21" s="3"/>
      <c r="S21" s="2"/>
    </row>
    <row r="22" spans="1:19" x14ac:dyDescent="0.3">
      <c r="A22" s="100" t="s">
        <v>35</v>
      </c>
      <c r="B22" s="101"/>
      <c r="C22" s="4"/>
      <c r="D22" s="14">
        <f t="shared" ref="D22:O22" si="5">D10+D20</f>
        <v>56.099999999999994</v>
      </c>
      <c r="E22" s="15">
        <f t="shared" si="5"/>
        <v>52.325000000000003</v>
      </c>
      <c r="F22" s="15">
        <f t="shared" si="5"/>
        <v>183.45999999999998</v>
      </c>
      <c r="G22" s="15">
        <f t="shared" si="5"/>
        <v>1395.665</v>
      </c>
      <c r="H22" s="15">
        <f t="shared" si="5"/>
        <v>0.79</v>
      </c>
      <c r="I22" s="15">
        <f t="shared" si="5"/>
        <v>90.83</v>
      </c>
      <c r="J22" s="15">
        <f t="shared" si="5"/>
        <v>10.635</v>
      </c>
      <c r="K22" s="14">
        <f t="shared" si="5"/>
        <v>11.240000000000002</v>
      </c>
      <c r="L22" s="15">
        <f t="shared" si="5"/>
        <v>857.17000000000007</v>
      </c>
      <c r="M22" s="15">
        <f t="shared" si="5"/>
        <v>976.78</v>
      </c>
      <c r="N22" s="14">
        <f t="shared" si="5"/>
        <v>255.48000000000002</v>
      </c>
      <c r="O22" s="15">
        <f t="shared" si="5"/>
        <v>10.630000000000003</v>
      </c>
      <c r="P22" s="5"/>
      <c r="Q22" s="5"/>
      <c r="R22" s="3"/>
      <c r="S22" s="2"/>
    </row>
    <row r="23" spans="1:19" x14ac:dyDescent="0.3">
      <c r="A23" s="41"/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"/>
      <c r="Q23" s="5"/>
      <c r="R23" s="3"/>
      <c r="S23" s="2"/>
    </row>
    <row r="24" spans="1:19" ht="15.6" x14ac:dyDescent="0.3">
      <c r="A24" s="4"/>
      <c r="B24" s="58" t="s">
        <v>127</v>
      </c>
      <c r="C24" s="4"/>
      <c r="D24" s="55">
        <v>637.65</v>
      </c>
      <c r="E24" s="55">
        <v>687.6</v>
      </c>
      <c r="F24" s="55">
        <v>2599.02</v>
      </c>
      <c r="G24" s="55">
        <v>18514.060000000001</v>
      </c>
      <c r="H24" s="55">
        <v>7.43</v>
      </c>
      <c r="I24" s="55">
        <v>583.49</v>
      </c>
      <c r="J24" s="55">
        <v>145.56</v>
      </c>
      <c r="K24" s="55">
        <v>95.8</v>
      </c>
      <c r="L24" s="55">
        <v>6635.02</v>
      </c>
      <c r="M24" s="55">
        <v>9840.11</v>
      </c>
      <c r="N24" s="55">
        <v>2864.2</v>
      </c>
      <c r="O24" s="55">
        <v>149.22</v>
      </c>
      <c r="P24" s="5"/>
      <c r="Q24" s="5"/>
      <c r="R24" s="3"/>
      <c r="S24" s="2"/>
    </row>
    <row r="25" spans="1:19" ht="31.2" x14ac:dyDescent="0.3">
      <c r="A25" s="4"/>
      <c r="B25" s="59" t="s">
        <v>128</v>
      </c>
      <c r="C25" s="4"/>
      <c r="D25" s="65">
        <v>53.13</v>
      </c>
      <c r="E25" s="65">
        <v>57.3</v>
      </c>
      <c r="F25" s="65">
        <v>216.6</v>
      </c>
      <c r="G25" s="65">
        <v>1542.84</v>
      </c>
      <c r="H25" s="65">
        <v>0.62</v>
      </c>
      <c r="I25" s="65">
        <v>48.62</v>
      </c>
      <c r="J25" s="65">
        <v>12.13</v>
      </c>
      <c r="K25" s="65">
        <v>7.9</v>
      </c>
      <c r="L25" s="66">
        <v>552.9</v>
      </c>
      <c r="M25" s="65">
        <v>820</v>
      </c>
      <c r="N25" s="66">
        <v>238.7</v>
      </c>
      <c r="O25" s="65">
        <v>12.43</v>
      </c>
      <c r="P25" s="5"/>
      <c r="Q25" s="5"/>
      <c r="R25" s="3"/>
      <c r="S25" s="2"/>
    </row>
    <row r="26" spans="1:19" ht="62.4" x14ac:dyDescent="0.3">
      <c r="A26" s="4"/>
      <c r="B26" s="59" t="s">
        <v>129</v>
      </c>
      <c r="C26" s="4"/>
      <c r="D26" s="65">
        <v>3.5</v>
      </c>
      <c r="E26" s="65">
        <v>3.6</v>
      </c>
      <c r="F26" s="65">
        <v>14</v>
      </c>
      <c r="G26" s="1"/>
      <c r="H26" s="1"/>
      <c r="I26" s="1"/>
      <c r="J26" s="1"/>
      <c r="K26" s="1"/>
      <c r="L26" s="1"/>
      <c r="M26" s="1"/>
      <c r="N26" s="1"/>
      <c r="O26" s="1"/>
      <c r="P26" s="5"/>
      <c r="Q26" s="5"/>
      <c r="R26" s="3"/>
      <c r="S26" s="2"/>
    </row>
    <row r="27" spans="1:19" ht="15.6" x14ac:dyDescent="0.3">
      <c r="A27" s="5"/>
      <c r="B27" s="84"/>
      <c r="C27" s="5"/>
      <c r="D27" s="85"/>
      <c r="E27" s="85"/>
      <c r="F27" s="85"/>
      <c r="G27" s="83"/>
      <c r="H27" s="83"/>
      <c r="I27" s="83"/>
      <c r="J27" s="83"/>
      <c r="K27" s="83"/>
      <c r="L27" s="83"/>
      <c r="M27" s="83"/>
      <c r="N27" s="83"/>
      <c r="O27" s="83"/>
      <c r="P27" s="5"/>
      <c r="Q27" s="5"/>
      <c r="R27" s="3"/>
      <c r="S27" s="83"/>
    </row>
    <row r="28" spans="1:19" x14ac:dyDescent="0.3">
      <c r="A28" s="107" t="s">
        <v>130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5"/>
      <c r="Q28" s="5"/>
      <c r="R28" s="3"/>
      <c r="S28" s="2"/>
    </row>
    <row r="29" spans="1:19" x14ac:dyDescent="0.3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"/>
      <c r="Q29" s="5"/>
      <c r="R29" s="3"/>
      <c r="S29" s="2"/>
    </row>
    <row r="30" spans="1:19" x14ac:dyDescent="0.3">
      <c r="A30" s="107" t="s">
        <v>162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"/>
      <c r="Q30" s="5"/>
      <c r="R30" s="3"/>
      <c r="S30" s="2"/>
    </row>
    <row r="31" spans="1:19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"/>
      <c r="Q31" s="5"/>
      <c r="R31" s="3"/>
      <c r="S31" s="37"/>
    </row>
    <row r="32" spans="1:19" x14ac:dyDescent="0.3">
      <c r="A32" s="5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37"/>
    </row>
    <row r="33" spans="1:19" x14ac:dyDescent="0.3">
      <c r="A33" s="5"/>
      <c r="B33" s="1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S33" s="37"/>
    </row>
    <row r="34" spans="1:19" x14ac:dyDescent="0.3">
      <c r="A34" s="5"/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"/>
      <c r="S34" s="37"/>
    </row>
    <row r="35" spans="1:1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"/>
      <c r="M35" s="37"/>
      <c r="P35" s="5"/>
      <c r="Q35" s="5"/>
      <c r="R35" s="3"/>
      <c r="S35" s="37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"/>
      <c r="M36" s="37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7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7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7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2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2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2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2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2"/>
    </row>
    <row r="45" spans="1:1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2"/>
    </row>
    <row r="46" spans="1:1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2"/>
    </row>
    <row r="47" spans="1:1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2"/>
    </row>
    <row r="48" spans="1:19" x14ac:dyDescent="0.3">
      <c r="A48" s="27"/>
      <c r="B48" s="27"/>
      <c r="C48" s="27"/>
      <c r="D48" s="27"/>
      <c r="E48" s="27"/>
      <c r="F48" s="27"/>
      <c r="G48" s="27"/>
      <c r="H48" s="27"/>
      <c r="I48" s="27"/>
      <c r="J48" s="5"/>
      <c r="K48" s="5"/>
      <c r="L48" s="3"/>
      <c r="M48" s="2"/>
    </row>
    <row r="49" spans="1:13" x14ac:dyDescent="0.3">
      <c r="A49" s="2"/>
      <c r="B49" s="2"/>
      <c r="C49" s="2"/>
      <c r="D49" s="2"/>
      <c r="E49" s="2"/>
      <c r="F49" s="2"/>
      <c r="G49" s="2"/>
      <c r="H49" s="2"/>
      <c r="I49" s="2"/>
      <c r="J49" s="5"/>
      <c r="K49" s="5"/>
      <c r="L49" s="3"/>
      <c r="M49" s="2"/>
    </row>
    <row r="50" spans="1:13" x14ac:dyDescent="0.3">
      <c r="A50" s="2"/>
      <c r="B50" s="2"/>
      <c r="C50" s="2"/>
      <c r="D50" s="2"/>
      <c r="E50" s="2"/>
      <c r="F50" s="2"/>
      <c r="G50" s="2"/>
      <c r="H50" s="2"/>
      <c r="I50" s="2"/>
      <c r="J50" s="5"/>
      <c r="K50" s="5"/>
      <c r="L50" s="3"/>
      <c r="M50" s="2"/>
    </row>
    <row r="51" spans="1:13" x14ac:dyDescent="0.3">
      <c r="A51" s="2"/>
      <c r="B51" s="2"/>
      <c r="C51" s="2"/>
      <c r="D51" s="2"/>
      <c r="E51" s="2"/>
      <c r="F51" s="2"/>
      <c r="G51" s="2"/>
      <c r="H51" s="2"/>
      <c r="I51" s="2"/>
      <c r="J51" s="5"/>
      <c r="K51" s="5"/>
      <c r="L51" s="3"/>
      <c r="M51" s="2"/>
    </row>
    <row r="52" spans="1:13" x14ac:dyDescent="0.3">
      <c r="A52" s="2"/>
      <c r="B52" s="2"/>
      <c r="C52" s="2"/>
      <c r="D52" s="2"/>
      <c r="E52" s="2"/>
      <c r="F52" s="2"/>
      <c r="G52" s="2"/>
      <c r="H52" s="2"/>
      <c r="I52" s="2"/>
      <c r="J52" s="5"/>
      <c r="K52" s="5"/>
      <c r="L52" s="3"/>
      <c r="M52" s="2"/>
    </row>
    <row r="53" spans="1:13" x14ac:dyDescent="0.3">
      <c r="J53" s="5"/>
      <c r="K53" s="5"/>
      <c r="L53" s="3"/>
      <c r="M53" s="2"/>
    </row>
    <row r="54" spans="1:13" x14ac:dyDescent="0.3">
      <c r="J54" s="27"/>
      <c r="K54" s="27"/>
      <c r="L54" s="2"/>
      <c r="M54" s="2"/>
    </row>
    <row r="55" spans="1:13" x14ac:dyDescent="0.3">
      <c r="J55" s="2"/>
    </row>
    <row r="56" spans="1:13" x14ac:dyDescent="0.3">
      <c r="J56" s="2"/>
    </row>
    <row r="57" spans="1:13" x14ac:dyDescent="0.3">
      <c r="J57" s="2"/>
    </row>
    <row r="58" spans="1:13" x14ac:dyDescent="0.3">
      <c r="J58" s="2"/>
    </row>
  </sheetData>
  <mergeCells count="19">
    <mergeCell ref="A28:O29"/>
    <mergeCell ref="A30:O31"/>
    <mergeCell ref="L3:O3"/>
    <mergeCell ref="A10:B10"/>
    <mergeCell ref="A11:O11"/>
    <mergeCell ref="A20:B20"/>
    <mergeCell ref="A21:O21"/>
    <mergeCell ref="G3:G4"/>
    <mergeCell ref="H3:K3"/>
    <mergeCell ref="A22:B22"/>
    <mergeCell ref="A3:A4"/>
    <mergeCell ref="B3:B4"/>
    <mergeCell ref="C3:C4"/>
    <mergeCell ref="D3:F3"/>
    <mergeCell ref="A1:C1"/>
    <mergeCell ref="D1:H1"/>
    <mergeCell ref="D2:H2"/>
    <mergeCell ref="J1:O1"/>
    <mergeCell ref="J2:O2"/>
  </mergeCells>
  <pageMargins left="0.14583333333333334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Layout" zoomScaleNormal="110" workbookViewId="0">
      <selection activeCell="D2" sqref="D2:H2"/>
    </sheetView>
  </sheetViews>
  <sheetFormatPr defaultRowHeight="14.4" x14ac:dyDescent="0.3"/>
  <cols>
    <col min="1" max="1" width="9.88671875" customWidth="1"/>
    <col min="2" max="2" width="27.109375" customWidth="1"/>
    <col min="3" max="3" width="8" customWidth="1"/>
    <col min="4" max="4" width="7.6640625" customWidth="1"/>
    <col min="5" max="5" width="7" customWidth="1"/>
    <col min="7" max="7" width="9.33203125" customWidth="1"/>
    <col min="8" max="8" width="5.6640625" customWidth="1"/>
    <col min="9" max="9" width="6.6640625" customWidth="1"/>
    <col min="10" max="10" width="5.88671875" customWidth="1"/>
    <col min="11" max="11" width="6" customWidth="1"/>
    <col min="12" max="12" width="7.44140625" customWidth="1"/>
    <col min="13" max="14" width="7" customWidth="1"/>
    <col min="15" max="15" width="6.44140625" customWidth="1"/>
  </cols>
  <sheetData>
    <row r="1" spans="1:19" ht="17.399999999999999" x14ac:dyDescent="0.35">
      <c r="A1" s="90" t="s">
        <v>138</v>
      </c>
      <c r="B1" s="90"/>
      <c r="C1" s="90"/>
      <c r="D1" s="91" t="s">
        <v>113</v>
      </c>
      <c r="E1" s="91"/>
      <c r="F1" s="91"/>
      <c r="G1" s="91"/>
      <c r="H1" s="91"/>
      <c r="I1" s="46"/>
      <c r="J1" s="86"/>
      <c r="K1" s="86"/>
      <c r="L1" s="86"/>
      <c r="M1" s="86"/>
      <c r="N1" s="86"/>
      <c r="O1" s="86"/>
    </row>
    <row r="2" spans="1:19" ht="17.399999999999999" x14ac:dyDescent="0.35">
      <c r="A2" s="44" t="s">
        <v>120</v>
      </c>
      <c r="B2" s="44"/>
      <c r="C2" s="48"/>
      <c r="D2" s="92" t="s">
        <v>166</v>
      </c>
      <c r="E2" s="92"/>
      <c r="F2" s="92"/>
      <c r="G2" s="92"/>
      <c r="H2" s="92"/>
      <c r="I2" s="46"/>
      <c r="J2" s="86"/>
      <c r="K2" s="86"/>
      <c r="L2" s="86"/>
      <c r="M2" s="86"/>
      <c r="N2" s="86"/>
      <c r="O2" s="86"/>
    </row>
    <row r="3" spans="1:19" ht="18" customHeight="1" x14ac:dyDescent="0.3">
      <c r="A3" s="93" t="s">
        <v>0</v>
      </c>
      <c r="B3" s="93" t="s">
        <v>1</v>
      </c>
      <c r="C3" s="95" t="s">
        <v>2</v>
      </c>
      <c r="D3" s="87" t="s">
        <v>6</v>
      </c>
      <c r="E3" s="88"/>
      <c r="F3" s="89"/>
      <c r="G3" s="95" t="s">
        <v>7</v>
      </c>
      <c r="H3" s="87" t="s">
        <v>8</v>
      </c>
      <c r="I3" s="88"/>
      <c r="J3" s="88"/>
      <c r="K3" s="89"/>
      <c r="L3" s="87" t="s">
        <v>9</v>
      </c>
      <c r="M3" s="88"/>
      <c r="N3" s="88"/>
      <c r="O3" s="89"/>
      <c r="P3" s="57"/>
      <c r="Q3" s="3"/>
      <c r="R3" s="3"/>
      <c r="S3" s="2"/>
    </row>
    <row r="4" spans="1:19" x14ac:dyDescent="0.3">
      <c r="A4" s="94"/>
      <c r="B4" s="94"/>
      <c r="C4" s="96"/>
      <c r="D4" s="17" t="s">
        <v>3</v>
      </c>
      <c r="E4" s="17" t="s">
        <v>4</v>
      </c>
      <c r="F4" s="17" t="s">
        <v>5</v>
      </c>
      <c r="G4" s="9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57"/>
      <c r="Q4" s="3"/>
      <c r="R4" s="3"/>
      <c r="S4" s="2"/>
    </row>
    <row r="5" spans="1:19" x14ac:dyDescent="0.3">
      <c r="A5" s="10"/>
      <c r="B5" s="52"/>
      <c r="C5" s="52"/>
      <c r="D5" s="52"/>
      <c r="E5" s="52"/>
      <c r="F5" s="13" t="s">
        <v>22</v>
      </c>
      <c r="G5" s="52"/>
      <c r="H5" s="52"/>
      <c r="I5" s="52"/>
      <c r="J5" s="52"/>
      <c r="K5" s="52"/>
      <c r="L5" s="52"/>
      <c r="M5" s="52"/>
      <c r="N5" s="52"/>
      <c r="O5" s="53"/>
      <c r="P5" s="57"/>
      <c r="Q5" s="3"/>
      <c r="R5" s="3"/>
      <c r="S5" s="2"/>
    </row>
    <row r="6" spans="1:19" ht="27.6" x14ac:dyDescent="0.3">
      <c r="A6" s="4" t="s">
        <v>91</v>
      </c>
      <c r="B6" s="19" t="s">
        <v>90</v>
      </c>
      <c r="C6" s="4">
        <v>200</v>
      </c>
      <c r="D6" s="8">
        <f>C6*3/100</f>
        <v>6</v>
      </c>
      <c r="E6" s="8">
        <f>C6*4.7/100</f>
        <v>9.4</v>
      </c>
      <c r="F6" s="8">
        <f>C6*15.5/100</f>
        <v>31</v>
      </c>
      <c r="G6" s="8">
        <f>F6*4+E6*9+D6*4</f>
        <v>232.60000000000002</v>
      </c>
      <c r="H6" s="4">
        <f>C6*0.08/100</f>
        <v>0.16</v>
      </c>
      <c r="I6" s="9">
        <v>0</v>
      </c>
      <c r="J6" s="9">
        <v>0</v>
      </c>
      <c r="K6" s="8">
        <f>C6*0.9/100</f>
        <v>1.8</v>
      </c>
      <c r="L6" s="8">
        <f>C6*12/100</f>
        <v>24</v>
      </c>
      <c r="M6" s="8">
        <f>C6*72/100</f>
        <v>144</v>
      </c>
      <c r="N6" s="8">
        <f>C6*49/100</f>
        <v>98</v>
      </c>
      <c r="O6" s="8">
        <f>C6*1.6/100</f>
        <v>3.2</v>
      </c>
      <c r="P6" s="56"/>
      <c r="Q6" s="5"/>
      <c r="R6" s="3"/>
      <c r="S6" s="2"/>
    </row>
    <row r="7" spans="1:19" x14ac:dyDescent="0.3">
      <c r="A7" s="4"/>
      <c r="B7" s="7" t="s">
        <v>20</v>
      </c>
      <c r="C7" s="60">
        <v>40</v>
      </c>
      <c r="D7" s="63">
        <v>3.04</v>
      </c>
      <c r="E7" s="63">
        <v>0.36</v>
      </c>
      <c r="F7" s="63">
        <v>19.88</v>
      </c>
      <c r="G7" s="63">
        <v>90.4</v>
      </c>
      <c r="H7" s="63">
        <v>0</v>
      </c>
      <c r="I7" s="63">
        <v>0</v>
      </c>
      <c r="J7" s="63">
        <v>10.4</v>
      </c>
      <c r="K7" s="63">
        <v>0.44</v>
      </c>
      <c r="L7" s="63">
        <v>33.200000000000003</v>
      </c>
      <c r="M7" s="63">
        <v>33.200000000000003</v>
      </c>
      <c r="N7" s="63">
        <v>14</v>
      </c>
      <c r="O7" s="4">
        <v>0.64</v>
      </c>
      <c r="P7" s="56"/>
      <c r="Q7" s="5"/>
      <c r="R7" s="3"/>
      <c r="S7" s="2"/>
    </row>
    <row r="8" spans="1:19" x14ac:dyDescent="0.3">
      <c r="A8" s="4" t="s">
        <v>51</v>
      </c>
      <c r="B8" s="7" t="s">
        <v>49</v>
      </c>
      <c r="C8" s="4">
        <v>200</v>
      </c>
      <c r="D8" s="8">
        <v>4.9000000000000004</v>
      </c>
      <c r="E8" s="8">
        <v>5</v>
      </c>
      <c r="F8" s="8">
        <v>32.5</v>
      </c>
      <c r="G8" s="8">
        <f>F8*4+E8*9+D8*4</f>
        <v>194.6</v>
      </c>
      <c r="H8" s="4">
        <v>0.06</v>
      </c>
      <c r="I8" s="4">
        <v>0.54</v>
      </c>
      <c r="J8" s="4">
        <v>0.04</v>
      </c>
      <c r="K8" s="8">
        <v>0.4</v>
      </c>
      <c r="L8" s="8">
        <v>172.2</v>
      </c>
      <c r="M8" s="8">
        <v>178.4</v>
      </c>
      <c r="N8" s="8">
        <v>24.8</v>
      </c>
      <c r="O8" s="8">
        <v>1</v>
      </c>
      <c r="P8" s="56"/>
      <c r="Q8" s="5"/>
      <c r="R8" s="3"/>
      <c r="S8" s="2"/>
    </row>
    <row r="9" spans="1:19" x14ac:dyDescent="0.3">
      <c r="A9" s="100" t="s">
        <v>36</v>
      </c>
      <c r="B9" s="101"/>
      <c r="C9" s="14"/>
      <c r="D9" s="15">
        <f t="shared" ref="D9:O9" si="0">SUM(D6:D8)</f>
        <v>13.94</v>
      </c>
      <c r="E9" s="15">
        <f t="shared" si="0"/>
        <v>14.76</v>
      </c>
      <c r="F9" s="15">
        <f t="shared" si="0"/>
        <v>83.38</v>
      </c>
      <c r="G9" s="15">
        <f t="shared" si="0"/>
        <v>517.6</v>
      </c>
      <c r="H9" s="15">
        <f t="shared" si="0"/>
        <v>0.22</v>
      </c>
      <c r="I9" s="14">
        <f t="shared" si="0"/>
        <v>0.54</v>
      </c>
      <c r="J9" s="14">
        <f t="shared" si="0"/>
        <v>10.44</v>
      </c>
      <c r="K9" s="15">
        <f t="shared" si="0"/>
        <v>2.64</v>
      </c>
      <c r="L9" s="15">
        <f t="shared" si="0"/>
        <v>229.39999999999998</v>
      </c>
      <c r="M9" s="15">
        <f t="shared" si="0"/>
        <v>355.6</v>
      </c>
      <c r="N9" s="15">
        <f t="shared" si="0"/>
        <v>136.80000000000001</v>
      </c>
      <c r="O9" s="15">
        <f t="shared" si="0"/>
        <v>4.84</v>
      </c>
      <c r="P9" s="56"/>
      <c r="Q9" s="5"/>
      <c r="R9" s="3"/>
      <c r="S9" s="2"/>
    </row>
    <row r="10" spans="1:19" x14ac:dyDescent="0.3">
      <c r="A10" s="100" t="s">
        <v>23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1"/>
      <c r="P10" s="56"/>
      <c r="Q10" s="5"/>
      <c r="R10" s="3" t="s">
        <v>21</v>
      </c>
      <c r="S10" s="2"/>
    </row>
    <row r="11" spans="1:19" x14ac:dyDescent="0.3">
      <c r="A11" s="80" t="s">
        <v>147</v>
      </c>
      <c r="B11" s="75" t="s">
        <v>148</v>
      </c>
      <c r="C11" s="70">
        <v>100</v>
      </c>
      <c r="D11" s="70">
        <v>2.2000000000000002</v>
      </c>
      <c r="E11" s="70">
        <v>0.4</v>
      </c>
      <c r="F11" s="70">
        <v>16.3</v>
      </c>
      <c r="G11" s="70">
        <v>53.9</v>
      </c>
      <c r="H11" s="81">
        <v>0.05</v>
      </c>
      <c r="I11" s="8">
        <v>3.62</v>
      </c>
      <c r="J11" s="9">
        <v>6.3</v>
      </c>
      <c r="K11" s="8">
        <v>0.08</v>
      </c>
      <c r="L11" s="8">
        <v>60.5</v>
      </c>
      <c r="M11" s="8">
        <v>57.5</v>
      </c>
      <c r="N11" s="8">
        <v>29.6</v>
      </c>
      <c r="O11" s="8">
        <v>0.5</v>
      </c>
      <c r="P11" s="56"/>
      <c r="Q11" s="5"/>
      <c r="R11" s="3"/>
      <c r="S11" s="2"/>
    </row>
    <row r="12" spans="1:19" x14ac:dyDescent="0.3">
      <c r="A12" s="4" t="s">
        <v>117</v>
      </c>
      <c r="B12" s="19" t="s">
        <v>115</v>
      </c>
      <c r="C12" s="4">
        <v>250</v>
      </c>
      <c r="D12" s="8">
        <f>C12*0.84/100</f>
        <v>2.1</v>
      </c>
      <c r="E12" s="8">
        <f>C12*1.34/100</f>
        <v>3.35</v>
      </c>
      <c r="F12" s="8">
        <f>C12*4.85/100</f>
        <v>12.125</v>
      </c>
      <c r="G12" s="8">
        <f>F12*4+E12*9+D12*4</f>
        <v>87.050000000000011</v>
      </c>
      <c r="H12" s="9">
        <v>0</v>
      </c>
      <c r="I12" s="8">
        <f>C12*0.74/100</f>
        <v>1.85</v>
      </c>
      <c r="J12" s="4">
        <f>C12*0.46/100</f>
        <v>1.1499999999999999</v>
      </c>
      <c r="K12" s="8">
        <f>C12*0.04/100</f>
        <v>0.1</v>
      </c>
      <c r="L12" s="8">
        <f>C12*33/100</f>
        <v>82.5</v>
      </c>
      <c r="M12" s="8">
        <f>C12*5.65/100</f>
        <v>14.125</v>
      </c>
      <c r="N12" s="8">
        <f>C12*2.86/100</f>
        <v>7.15</v>
      </c>
      <c r="O12" s="8">
        <f>C12*0.31/100</f>
        <v>0.77500000000000002</v>
      </c>
      <c r="P12" s="56"/>
      <c r="Q12" s="5"/>
      <c r="R12" s="3"/>
      <c r="S12" s="2"/>
    </row>
    <row r="13" spans="1:19" x14ac:dyDescent="0.3">
      <c r="A13" s="4" t="s">
        <v>27</v>
      </c>
      <c r="B13" s="7" t="s">
        <v>26</v>
      </c>
      <c r="C13" s="20">
        <v>200</v>
      </c>
      <c r="D13" s="8">
        <f>C13*2.1/100</f>
        <v>4.2</v>
      </c>
      <c r="E13" s="8">
        <f>C13*4.5/100</f>
        <v>9</v>
      </c>
      <c r="F13" s="8">
        <f>C13*14.6/100</f>
        <v>29.2</v>
      </c>
      <c r="G13" s="8">
        <f>F13*4+E13*9+D13*4</f>
        <v>214.60000000000002</v>
      </c>
      <c r="H13" s="8">
        <f>C13*0.1/100</f>
        <v>0.2</v>
      </c>
      <c r="I13" s="8">
        <f>C13*3.7/100</f>
        <v>7.4</v>
      </c>
      <c r="J13" s="8">
        <v>0.04</v>
      </c>
      <c r="K13" s="8">
        <f>C13*0.1/100</f>
        <v>0.2</v>
      </c>
      <c r="L13" s="8">
        <f>C13*27/100</f>
        <v>54</v>
      </c>
      <c r="M13" s="8">
        <f>C13*56/100</f>
        <v>112</v>
      </c>
      <c r="N13" s="8">
        <f>C13*20/100</f>
        <v>40</v>
      </c>
      <c r="O13" s="8">
        <f>C13*0.7/100</f>
        <v>1.4</v>
      </c>
      <c r="P13" s="56"/>
      <c r="Q13" s="5"/>
      <c r="R13" s="3"/>
      <c r="S13" s="51"/>
    </row>
    <row r="14" spans="1:19" x14ac:dyDescent="0.3">
      <c r="A14" s="4" t="s">
        <v>95</v>
      </c>
      <c r="B14" s="7" t="s">
        <v>93</v>
      </c>
      <c r="C14" s="4">
        <v>100</v>
      </c>
      <c r="D14" s="8">
        <f>C14*21.3/100</f>
        <v>21.3</v>
      </c>
      <c r="E14" s="8">
        <f>C14*23.1/100</f>
        <v>23.1</v>
      </c>
      <c r="F14" s="8">
        <f>C14*5.7/100</f>
        <v>5.7</v>
      </c>
      <c r="G14" s="8">
        <f>F14*4+E14*9+D14*4</f>
        <v>315.90000000000003</v>
      </c>
      <c r="H14" s="21">
        <f>C14*0.09/100</f>
        <v>0.09</v>
      </c>
      <c r="I14" s="21">
        <f>C14*4.7/100</f>
        <v>4.7</v>
      </c>
      <c r="J14" s="21">
        <f>C14*0.01/100</f>
        <v>0.01</v>
      </c>
      <c r="K14" s="21">
        <f>C14*0.8/100</f>
        <v>0.8</v>
      </c>
      <c r="L14" s="21">
        <f>C14*31/100</f>
        <v>31</v>
      </c>
      <c r="M14" s="21">
        <f>C14*126/100</f>
        <v>126</v>
      </c>
      <c r="N14" s="21">
        <f>C14*26/100</f>
        <v>26</v>
      </c>
      <c r="O14" s="21">
        <f>C14*1.5/100</f>
        <v>1.5</v>
      </c>
      <c r="P14" s="56"/>
      <c r="Q14" s="5"/>
      <c r="R14" s="3"/>
      <c r="S14" s="2"/>
    </row>
    <row r="15" spans="1:19" x14ac:dyDescent="0.3">
      <c r="A15" s="4"/>
      <c r="B15" s="7" t="s">
        <v>20</v>
      </c>
      <c r="C15" s="4">
        <v>35</v>
      </c>
      <c r="D15" s="4">
        <v>1.88</v>
      </c>
      <c r="E15" s="8">
        <v>0.2</v>
      </c>
      <c r="F15" s="4">
        <v>12.13</v>
      </c>
      <c r="G15" s="8">
        <v>40.479999999999997</v>
      </c>
      <c r="H15" s="8">
        <v>0.03</v>
      </c>
      <c r="I15" s="9">
        <v>0</v>
      </c>
      <c r="J15" s="9">
        <v>0</v>
      </c>
      <c r="K15" s="4">
        <v>0.3</v>
      </c>
      <c r="L15" s="8">
        <v>5</v>
      </c>
      <c r="M15" s="8">
        <v>15.9</v>
      </c>
      <c r="N15" s="8">
        <v>3.43</v>
      </c>
      <c r="O15" s="4">
        <v>0.27</v>
      </c>
      <c r="P15" s="56">
        <v>42</v>
      </c>
      <c r="Q15" s="5"/>
      <c r="R15" s="3"/>
      <c r="S15" s="2"/>
    </row>
    <row r="16" spans="1:19" x14ac:dyDescent="0.3">
      <c r="A16" s="4"/>
      <c r="B16" s="7" t="s">
        <v>30</v>
      </c>
      <c r="C16" s="4">
        <v>30</v>
      </c>
      <c r="D16" s="4">
        <v>1.48</v>
      </c>
      <c r="E16" s="4">
        <v>0.24</v>
      </c>
      <c r="F16" s="4">
        <v>9.8000000000000007</v>
      </c>
      <c r="G16" s="4">
        <v>35.46</v>
      </c>
      <c r="H16" s="8">
        <v>0.03</v>
      </c>
      <c r="I16" s="9">
        <v>0</v>
      </c>
      <c r="J16" s="9">
        <v>0</v>
      </c>
      <c r="K16" s="4">
        <v>0.31</v>
      </c>
      <c r="L16" s="8">
        <v>7.87</v>
      </c>
      <c r="M16" s="8">
        <v>35.549999999999997</v>
      </c>
      <c r="N16" s="8">
        <v>10.6</v>
      </c>
      <c r="O16" s="4">
        <v>0.8</v>
      </c>
      <c r="P16" s="56"/>
      <c r="Q16" s="5"/>
      <c r="R16" s="3"/>
      <c r="S16" s="37"/>
    </row>
    <row r="17" spans="1:19" x14ac:dyDescent="0.3">
      <c r="A17" s="4" t="s">
        <v>52</v>
      </c>
      <c r="B17" s="7" t="s">
        <v>31</v>
      </c>
      <c r="C17" s="4">
        <v>200</v>
      </c>
      <c r="D17" s="8">
        <v>0.6</v>
      </c>
      <c r="E17" s="9">
        <v>0</v>
      </c>
      <c r="F17" s="8">
        <v>31.4</v>
      </c>
      <c r="G17" s="8">
        <f>F17*4+E17*9+D17*4</f>
        <v>128</v>
      </c>
      <c r="H17" s="4">
        <v>0.02</v>
      </c>
      <c r="I17" s="4">
        <v>0.73</v>
      </c>
      <c r="J17" s="9">
        <v>0</v>
      </c>
      <c r="K17" s="4">
        <v>0.51</v>
      </c>
      <c r="L17" s="4">
        <v>32.479999999999997</v>
      </c>
      <c r="M17" s="4">
        <v>23.44</v>
      </c>
      <c r="N17" s="4">
        <v>17.46</v>
      </c>
      <c r="O17" s="8">
        <v>0.7</v>
      </c>
      <c r="P17" s="56"/>
      <c r="Q17" s="5"/>
      <c r="R17" s="3"/>
      <c r="S17" s="2"/>
    </row>
    <row r="18" spans="1:19" x14ac:dyDescent="0.3">
      <c r="A18" s="4"/>
      <c r="B18" s="7" t="s">
        <v>32</v>
      </c>
      <c r="C18" s="4">
        <v>100</v>
      </c>
      <c r="D18" s="8">
        <v>0.4</v>
      </c>
      <c r="E18" s="8">
        <v>0.4</v>
      </c>
      <c r="F18" s="8">
        <v>9.8000000000000007</v>
      </c>
      <c r="G18" s="8">
        <f>F18*4+E18*9+D18*4</f>
        <v>44.400000000000006</v>
      </c>
      <c r="H18" s="4">
        <v>0.03</v>
      </c>
      <c r="I18" s="8">
        <v>10</v>
      </c>
      <c r="J18" s="9">
        <v>0</v>
      </c>
      <c r="K18" s="8">
        <v>0.2</v>
      </c>
      <c r="L18" s="8">
        <v>16</v>
      </c>
      <c r="M18" s="8">
        <v>11</v>
      </c>
      <c r="N18" s="8">
        <v>9</v>
      </c>
      <c r="O18" s="8">
        <v>2.2000000000000002</v>
      </c>
      <c r="P18" s="56"/>
      <c r="Q18" s="5"/>
      <c r="R18" s="3"/>
      <c r="S18" s="2"/>
    </row>
    <row r="19" spans="1:19" x14ac:dyDescent="0.3">
      <c r="A19" s="100" t="s">
        <v>37</v>
      </c>
      <c r="B19" s="101"/>
      <c r="C19" s="4"/>
      <c r="D19" s="15">
        <f t="shared" ref="D19:O19" si="1">SUM(D11:D18)</f>
        <v>34.159999999999997</v>
      </c>
      <c r="E19" s="15">
        <f t="shared" si="1"/>
        <v>36.690000000000005</v>
      </c>
      <c r="F19" s="15">
        <f t="shared" si="1"/>
        <v>126.455</v>
      </c>
      <c r="G19" s="15">
        <f t="shared" si="1"/>
        <v>919.79000000000008</v>
      </c>
      <c r="H19" s="15">
        <f t="shared" si="1"/>
        <v>0.45000000000000007</v>
      </c>
      <c r="I19" s="15">
        <f t="shared" si="1"/>
        <v>28.3</v>
      </c>
      <c r="J19" s="15">
        <f t="shared" si="1"/>
        <v>7.4999999999999991</v>
      </c>
      <c r="K19" s="15">
        <f t="shared" si="1"/>
        <v>2.5000000000000004</v>
      </c>
      <c r="L19" s="15">
        <f t="shared" si="1"/>
        <v>289.35000000000002</v>
      </c>
      <c r="M19" s="15">
        <f t="shared" si="1"/>
        <v>395.51499999999999</v>
      </c>
      <c r="N19" s="15">
        <f t="shared" si="1"/>
        <v>143.24</v>
      </c>
      <c r="O19" s="15">
        <f t="shared" si="1"/>
        <v>8.1449999999999996</v>
      </c>
      <c r="P19" s="56"/>
      <c r="Q19" s="5"/>
      <c r="R19" s="3"/>
      <c r="S19" s="2"/>
    </row>
    <row r="20" spans="1:19" x14ac:dyDescent="0.3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56"/>
      <c r="Q20" s="5"/>
      <c r="R20" s="3"/>
      <c r="S20" s="2"/>
    </row>
    <row r="21" spans="1:19" x14ac:dyDescent="0.3">
      <c r="A21" s="100" t="s">
        <v>35</v>
      </c>
      <c r="B21" s="101"/>
      <c r="C21" s="4"/>
      <c r="D21" s="15">
        <f t="shared" ref="D21:O21" si="2">D9+D19</f>
        <v>48.099999999999994</v>
      </c>
      <c r="E21" s="15">
        <f t="shared" si="2"/>
        <v>51.45</v>
      </c>
      <c r="F21" s="15">
        <f t="shared" si="2"/>
        <v>209.83499999999998</v>
      </c>
      <c r="G21" s="14">
        <f t="shared" si="2"/>
        <v>1437.39</v>
      </c>
      <c r="H21" s="15">
        <f t="shared" si="2"/>
        <v>0.67</v>
      </c>
      <c r="I21" s="15">
        <f t="shared" si="2"/>
        <v>28.84</v>
      </c>
      <c r="J21" s="15">
        <f t="shared" si="2"/>
        <v>17.939999999999998</v>
      </c>
      <c r="K21" s="15">
        <f t="shared" si="2"/>
        <v>5.1400000000000006</v>
      </c>
      <c r="L21" s="14">
        <f t="shared" si="2"/>
        <v>518.75</v>
      </c>
      <c r="M21" s="15">
        <f t="shared" si="2"/>
        <v>751.11500000000001</v>
      </c>
      <c r="N21" s="14">
        <f t="shared" si="2"/>
        <v>280.04000000000002</v>
      </c>
      <c r="O21" s="15">
        <f t="shared" si="2"/>
        <v>12.984999999999999</v>
      </c>
      <c r="P21" s="56"/>
      <c r="Q21" s="5"/>
      <c r="R21" s="3"/>
      <c r="S21" s="2"/>
    </row>
    <row r="22" spans="1:19" x14ac:dyDescent="0.3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6"/>
      <c r="Q22" s="5"/>
      <c r="R22" s="3"/>
      <c r="S22" s="2"/>
    </row>
    <row r="23" spans="1:19" x14ac:dyDescent="0.3">
      <c r="A23" s="5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6"/>
      <c r="Q23" s="5"/>
      <c r="R23" s="3"/>
      <c r="S23" s="2"/>
    </row>
    <row r="24" spans="1:19" x14ac:dyDescent="0.3">
      <c r="A24" s="5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6"/>
      <c r="Q24" s="5"/>
      <c r="R24" s="3"/>
      <c r="S24" s="2"/>
    </row>
    <row r="25" spans="1:19" x14ac:dyDescent="0.3">
      <c r="A25" s="5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6"/>
      <c r="Q25" s="5"/>
      <c r="R25" s="3"/>
      <c r="S25" s="2"/>
    </row>
    <row r="26" spans="1:19" x14ac:dyDescent="0.3">
      <c r="A26" s="5"/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6"/>
      <c r="Q26" s="5"/>
      <c r="R26" s="3"/>
      <c r="S26" s="2"/>
    </row>
    <row r="27" spans="1:19" x14ac:dyDescent="0.3">
      <c r="A27" s="5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6"/>
      <c r="Q27" s="5"/>
      <c r="R27" s="3"/>
      <c r="S27" s="2"/>
    </row>
    <row r="28" spans="1:19" x14ac:dyDescent="0.3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  <c r="S28" s="2"/>
    </row>
    <row r="29" spans="1:19" x14ac:dyDescent="0.3">
      <c r="A29" s="5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2"/>
    </row>
    <row r="30" spans="1:19" x14ac:dyDescent="0.3">
      <c r="A30" s="5"/>
      <c r="B30" s="1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  <c r="S30" s="37"/>
    </row>
    <row r="31" spans="1:19" x14ac:dyDescent="0.3">
      <c r="A31" s="5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  <c r="S31" s="37"/>
    </row>
    <row r="32" spans="1:1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  <c r="N32" s="37"/>
      <c r="P32" s="5"/>
      <c r="Q32" s="5"/>
      <c r="R32" s="3"/>
      <c r="S32" s="37"/>
    </row>
    <row r="33" spans="1:1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  <c r="N33" s="37"/>
      <c r="P33" s="5"/>
      <c r="Q33" s="5"/>
      <c r="R33" s="3"/>
      <c r="S33" s="37"/>
    </row>
    <row r="34" spans="1:19" x14ac:dyDescent="0.3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7"/>
    </row>
    <row r="35" spans="1:1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  <c r="N35" s="2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  <c r="N36" s="2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3"/>
      <c r="N37" s="2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  <c r="N38" s="2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  <c r="N39" s="2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  <c r="N40" s="2"/>
    </row>
    <row r="41" spans="1:1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  <c r="N41" s="2"/>
    </row>
    <row r="42" spans="1:1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  <c r="N42" s="2"/>
    </row>
    <row r="43" spans="1:1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2"/>
    </row>
    <row r="44" spans="1:1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2"/>
    </row>
    <row r="45" spans="1:19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5"/>
      <c r="L45" s="5"/>
      <c r="M45" s="3"/>
      <c r="N45" s="2"/>
    </row>
    <row r="46" spans="1:1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5"/>
      <c r="L46" s="5"/>
      <c r="M46" s="3"/>
      <c r="N46" s="2"/>
    </row>
    <row r="47" spans="1:1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3"/>
      <c r="N47" s="2"/>
    </row>
    <row r="48" spans="1:1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"/>
      <c r="L48" s="5"/>
      <c r="M48" s="3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7"/>
      <c r="L49" s="27"/>
      <c r="M49" s="2"/>
      <c r="N49" s="2"/>
    </row>
    <row r="50" spans="1:14" x14ac:dyDescent="0.3">
      <c r="K50" s="2"/>
    </row>
    <row r="51" spans="1:14" x14ac:dyDescent="0.3">
      <c r="K51" s="2"/>
    </row>
    <row r="52" spans="1:14" x14ac:dyDescent="0.3">
      <c r="K52" s="2"/>
    </row>
    <row r="53" spans="1:14" x14ac:dyDescent="0.3">
      <c r="K53" s="2"/>
    </row>
  </sheetData>
  <mergeCells count="17">
    <mergeCell ref="L3:O3"/>
    <mergeCell ref="A9:B9"/>
    <mergeCell ref="A10:O10"/>
    <mergeCell ref="A19:B19"/>
    <mergeCell ref="A20:O20"/>
    <mergeCell ref="G3:G4"/>
    <mergeCell ref="H3:K3"/>
    <mergeCell ref="A21:B21"/>
    <mergeCell ref="A3:A4"/>
    <mergeCell ref="B3:B4"/>
    <mergeCell ref="C3:C4"/>
    <mergeCell ref="D3:F3"/>
    <mergeCell ref="A1:C1"/>
    <mergeCell ref="D1:H1"/>
    <mergeCell ref="D2:H2"/>
    <mergeCell ref="J1:O1"/>
    <mergeCell ref="J2:O2"/>
  </mergeCells>
  <pageMargins left="0.5208333333333333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2024-03-04T11:39:26Z</dcterms:modified>
</cp:coreProperties>
</file>